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985" yWindow="135" windowWidth="6270" windowHeight="8010" tabRatio="928" activeTab="6"/>
  </bookViews>
  <sheets>
    <sheet name="GG" sheetId="55" r:id="rId1"/>
    <sheet name="Equipos" sheetId="54" r:id="rId2"/>
    <sheet name="Mano de obra" sheetId="53" r:id="rId3"/>
    <sheet name="MAT 31-10-2013" sheetId="57" r:id="rId4"/>
    <sheet name="Coef. resumen" sheetId="52" r:id="rId5"/>
    <sheet name="Análisis" sheetId="51" r:id="rId6"/>
    <sheet name="Presupuesto" sheetId="50" r:id="rId7"/>
    <sheet name="Plan de Trabajos" sheetId="56" r:id="rId8"/>
    <sheet name="Cotización" sheetId="5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Fill" localSheetId="5" hidden="1">[1]Quantity!#REF!</definedName>
    <definedName name="_Fill" localSheetId="4" hidden="1">[1]Quantity!#REF!</definedName>
    <definedName name="_Fill" localSheetId="8" hidden="1">[1]Quantity!#REF!</definedName>
    <definedName name="_Fill" localSheetId="1" hidden="1">[1]Quantity!#REF!</definedName>
    <definedName name="_Fill" localSheetId="2" hidden="1">[1]Quantity!#REF!</definedName>
    <definedName name="_Fill" localSheetId="3" hidden="1">[1]Quantity!#REF!</definedName>
    <definedName name="_Fill" hidden="1">[1]Quantity!#REF!</definedName>
    <definedName name="_Key1" localSheetId="5" hidden="1">[1]Quantity!#REF!</definedName>
    <definedName name="_Key1" localSheetId="4" hidden="1">[1]Quantity!#REF!</definedName>
    <definedName name="_Key1" localSheetId="8" hidden="1">[1]Quantity!#REF!</definedName>
    <definedName name="_Key1" localSheetId="1" hidden="1">[1]Quantity!#REF!</definedName>
    <definedName name="_Key1" localSheetId="0" hidden="1">[1]Quantity!#REF!</definedName>
    <definedName name="_Key1" localSheetId="2" hidden="1">[1]Quantity!#REF!</definedName>
    <definedName name="_Key1" localSheetId="3" hidden="1">[1]Quantity!#REF!</definedName>
    <definedName name="_Key1" hidden="1">[1]Quantity!#REF!</definedName>
    <definedName name="_Order1" hidden="1">255</definedName>
    <definedName name="_Parse_Out" localSheetId="5" hidden="1">[1]Quantity!#REF!</definedName>
    <definedName name="_Parse_Out" localSheetId="4" hidden="1">[1]Quantity!#REF!</definedName>
    <definedName name="_Parse_Out" localSheetId="8" hidden="1">[1]Quantity!#REF!</definedName>
    <definedName name="_Parse_Out" localSheetId="1" hidden="1">[1]Quantity!#REF!</definedName>
    <definedName name="_Parse_Out" localSheetId="0" hidden="1">[1]Quantity!#REF!</definedName>
    <definedName name="_Parse_Out" localSheetId="2" hidden="1">[1]Quantity!#REF!</definedName>
    <definedName name="_Parse_Out" localSheetId="3" hidden="1">[1]Quantity!#REF!</definedName>
    <definedName name="_Parse_Out" hidden="1">[1]Quantity!#REF!</definedName>
    <definedName name="_Sort" localSheetId="5" hidden="1">[1]Quantity!#REF!</definedName>
    <definedName name="_Sort" localSheetId="4" hidden="1">[1]Quantity!#REF!</definedName>
    <definedName name="_Sort" localSheetId="8" hidden="1">[1]Quantity!#REF!</definedName>
    <definedName name="_Sort" localSheetId="1" hidden="1">[1]Quantity!#REF!</definedName>
    <definedName name="_Sort" localSheetId="0" hidden="1">[1]Quantity!#REF!</definedName>
    <definedName name="_Sort" localSheetId="2" hidden="1">[1]Quantity!#REF!</definedName>
    <definedName name="_Sort" localSheetId="3" hidden="1">[1]Quantity!#REF!</definedName>
    <definedName name="_Sort" hidden="1">[1]Quantity!#REF!</definedName>
    <definedName name="A_IMPRESIÓN_I">#REF!</definedName>
    <definedName name="A_impresión_IM" localSheetId="5">#REF!</definedName>
    <definedName name="A_impresión_IM" localSheetId="4">#REF!</definedName>
    <definedName name="A_impresión_IM" localSheetId="8">#REF!</definedName>
    <definedName name="A_impresión_IM" localSheetId="1">#REF!</definedName>
    <definedName name="A_impresión_IM" localSheetId="0">#REF!</definedName>
    <definedName name="A_impresión_IM" localSheetId="2">#REF!</definedName>
    <definedName name="A_impresión_IM" localSheetId="3">#REF!</definedName>
    <definedName name="A_impresión_IM">#REF!</definedName>
    <definedName name="_xlnm.Print_Area" localSheetId="5">Análisis!$A$1:$F$2976</definedName>
    <definedName name="_xlnm.Print_Area" localSheetId="4">'Coef. resumen'!$A$1:$G$32</definedName>
    <definedName name="_xlnm.Print_Area" localSheetId="8">Cotización!$A$4:$D$36</definedName>
    <definedName name="_xlnm.Print_Area" localSheetId="1">Equipos!$A$1:$S$48</definedName>
    <definedName name="_xlnm.Print_Area" localSheetId="0">GG!$A$1:$H$28</definedName>
    <definedName name="_xlnm.Print_Area" localSheetId="2">'Mano de obra'!$A$1:$J$33</definedName>
    <definedName name="_xlnm.Print_Area" localSheetId="3">'MAT 31-10-2013'!$A$1:$P$362</definedName>
    <definedName name="_xlnm.Print_Area" localSheetId="7">'Plan de Trabajos'!$A$1:$X$53</definedName>
    <definedName name="_xlnm.Print_Area" localSheetId="6">Presupuesto!$A$1:$H$122</definedName>
    <definedName name="_xlnm.Print_Area">#REF!</definedName>
    <definedName name="BUD10YR" localSheetId="5">#REF!</definedName>
    <definedName name="BUD10YR" localSheetId="4">#REF!</definedName>
    <definedName name="BUD10YR" localSheetId="8">#REF!</definedName>
    <definedName name="BUD10YR" localSheetId="1">#REF!</definedName>
    <definedName name="BUD10YR" localSheetId="0">#REF!</definedName>
    <definedName name="BUD10YR" localSheetId="2">#REF!</definedName>
    <definedName name="BUD10YR" localSheetId="3">#REF!</definedName>
    <definedName name="BUD10YR">#REF!</definedName>
    <definedName name="BUD7YR" localSheetId="5">#REF!</definedName>
    <definedName name="BUD7YR" localSheetId="4">#REF!</definedName>
    <definedName name="BUD7YR" localSheetId="8">#REF!</definedName>
    <definedName name="BUD7YR" localSheetId="1">#REF!</definedName>
    <definedName name="BUD7YR" localSheetId="0">#REF!</definedName>
    <definedName name="BUD7YR" localSheetId="2">#REF!</definedName>
    <definedName name="BUD7YR" localSheetId="3">#REF!</definedName>
    <definedName name="BUD7YR">#REF!</definedName>
    <definedName name="BUDACQ" localSheetId="4">#REF!</definedName>
    <definedName name="BUDACQ" localSheetId="8">#REF!</definedName>
    <definedName name="BUDACQ" localSheetId="1">#REF!</definedName>
    <definedName name="BUDACQ" localSheetId="0">#REF!</definedName>
    <definedName name="BUDACQ" localSheetId="2">#REF!</definedName>
    <definedName name="BUDACQ" localSheetId="3">#REF!</definedName>
    <definedName name="BUDACQ">#REF!</definedName>
    <definedName name="BUDAE" localSheetId="4">#REF!</definedName>
    <definedName name="BUDAE" localSheetId="8">#REF!</definedName>
    <definedName name="BUDAE" localSheetId="1">#REF!</definedName>
    <definedName name="BUDAE" localSheetId="0">#REF!</definedName>
    <definedName name="BUDAE" localSheetId="2">#REF!</definedName>
    <definedName name="BUDAE" localSheetId="3">#REF!</definedName>
    <definedName name="BUDAE">#REF!</definedName>
    <definedName name="BUDBLDG" localSheetId="4">#REF!</definedName>
    <definedName name="BUDBLDG" localSheetId="8">#REF!</definedName>
    <definedName name="BUDBLDG" localSheetId="1">#REF!</definedName>
    <definedName name="BUDBLDG" localSheetId="0">#REF!</definedName>
    <definedName name="BUDBLDG" localSheetId="2">#REF!</definedName>
    <definedName name="BUDBLDG" localSheetId="3">#REF!</definedName>
    <definedName name="BUDBLDG">#REF!</definedName>
    <definedName name="BUDLEGAL" localSheetId="4">#REF!</definedName>
    <definedName name="BUDLEGAL" localSheetId="8">#REF!</definedName>
    <definedName name="BUDLEGAL" localSheetId="1">#REF!</definedName>
    <definedName name="BUDLEGAL" localSheetId="0">#REF!</definedName>
    <definedName name="BUDLEGAL" localSheetId="2">#REF!</definedName>
    <definedName name="BUDLEGAL" localSheetId="3">#REF!</definedName>
    <definedName name="BUDLEGAL">#REF!</definedName>
    <definedName name="BUDLHI" localSheetId="4">#REF!</definedName>
    <definedName name="BUDLHI" localSheetId="8">#REF!</definedName>
    <definedName name="BUDLHI" localSheetId="1">#REF!</definedName>
    <definedName name="BUDLHI" localSheetId="0">#REF!</definedName>
    <definedName name="BUDLHI" localSheetId="2">#REF!</definedName>
    <definedName name="BUDLHI" localSheetId="3">#REF!</definedName>
    <definedName name="BUDLHI">#REF!</definedName>
    <definedName name="BUDSITE" localSheetId="4">#REF!</definedName>
    <definedName name="BUDSITE" localSheetId="8">#REF!</definedName>
    <definedName name="BUDSITE" localSheetId="1">#REF!</definedName>
    <definedName name="BUDSITE" localSheetId="0">#REF!</definedName>
    <definedName name="BUDSITE" localSheetId="2">#REF!</definedName>
    <definedName name="BUDSITE" localSheetId="3">#REF!</definedName>
    <definedName name="BUDSITE">#REF!</definedName>
    <definedName name="BUDSS" localSheetId="4">#REF!</definedName>
    <definedName name="BUDSS" localSheetId="8">#REF!</definedName>
    <definedName name="BUDSS" localSheetId="1">#REF!</definedName>
    <definedName name="BUDSS" localSheetId="0">#REF!</definedName>
    <definedName name="BUDSS" localSheetId="2">#REF!</definedName>
    <definedName name="BUDSS" localSheetId="3">#REF!</definedName>
    <definedName name="BUDSS">#REF!</definedName>
    <definedName name="BuiltIn_Print_Area" localSheetId="4">#REF!</definedName>
    <definedName name="BuiltIn_Print_Area" localSheetId="8">#REF!</definedName>
    <definedName name="BuiltIn_Print_Area" localSheetId="1">#REF!</definedName>
    <definedName name="BuiltIn_Print_Area" localSheetId="0">#REF!</definedName>
    <definedName name="BuiltIn_Print_Area" localSheetId="2">#REF!</definedName>
    <definedName name="BuiltIn_Print_Area" localSheetId="3">#REF!</definedName>
    <definedName name="BuiltIn_Print_Area">#REF!</definedName>
    <definedName name="BuiltIn_Print_Area___0___0___0" localSheetId="4">#REF!</definedName>
    <definedName name="BuiltIn_Print_Area___0___0___0" localSheetId="8">#REF!</definedName>
    <definedName name="BuiltIn_Print_Area___0___0___0" localSheetId="1">#REF!</definedName>
    <definedName name="BuiltIn_Print_Area___0___0___0" localSheetId="0">#REF!</definedName>
    <definedName name="BuiltIn_Print_Area___0___0___0" localSheetId="2">#REF!</definedName>
    <definedName name="BuiltIn_Print_Area___0___0___0" localSheetId="3">#REF!</definedName>
    <definedName name="BuiltIn_Print_Area___0___0___0">#REF!</definedName>
    <definedName name="BuiltIn_Print_Titles" localSheetId="4">#REF!</definedName>
    <definedName name="BuiltIn_Print_Titles" localSheetId="8">#REF!</definedName>
    <definedName name="BuiltIn_Print_Titles" localSheetId="1">#REF!</definedName>
    <definedName name="BuiltIn_Print_Titles" localSheetId="0">#REF!</definedName>
    <definedName name="BuiltIn_Print_Titles" localSheetId="2">#REF!</definedName>
    <definedName name="BuiltIn_Print_Titles" localSheetId="3">#REF!</definedName>
    <definedName name="BuiltIn_Print_Titles">#REF!</definedName>
    <definedName name="BuiltIn_Print_Titles___0___0" localSheetId="4">#REF!</definedName>
    <definedName name="BuiltIn_Print_Titles___0___0" localSheetId="8">#REF!</definedName>
    <definedName name="BuiltIn_Print_Titles___0___0" localSheetId="1">#REF!</definedName>
    <definedName name="BuiltIn_Print_Titles___0___0" localSheetId="0">#REF!</definedName>
    <definedName name="BuiltIn_Print_Titles___0___0" localSheetId="2">#REF!</definedName>
    <definedName name="BuiltIn_Print_Titles___0___0" localSheetId="3">#REF!</definedName>
    <definedName name="BuiltIn_Print_Titles___0___0">#REF!</definedName>
    <definedName name="CARIE" localSheetId="5" hidden="1">{"OTHER",#N/A,TRUE,"OTHER";"RACK",#N/A,TRUE,"RACK"}</definedName>
    <definedName name="CARIE" localSheetId="4" hidden="1">{"OTHER",#N/A,TRUE,"OTHER";"RACK",#N/A,TRUE,"RACK"}</definedName>
    <definedName name="CARIE" localSheetId="8" hidden="1">{"OTHER",#N/A,TRUE,"OTHER";"RACK",#N/A,TRUE,"RACK"}</definedName>
    <definedName name="CARIE" localSheetId="1" hidden="1">{"OTHER",#N/A,TRUE,"OTHER";"RACK",#N/A,TRUE,"RACK"}</definedName>
    <definedName name="CARIE" localSheetId="0" hidden="1">{"OTHER",#N/A,TRUE,"OTHER";"RACK",#N/A,TRUE,"RACK"}</definedName>
    <definedName name="CARIE" localSheetId="2" hidden="1">{"OTHER",#N/A,TRUE,"OTHER";"RACK",#N/A,TRUE,"RACK"}</definedName>
    <definedName name="CARIE" localSheetId="3" hidden="1">{"OTHER",#N/A,TRUE,"OTHER";"RACK",#N/A,TRUE,"RACK"}</definedName>
    <definedName name="CARIE" hidden="1">{"OTHER",#N/A,TRUE,"OTHER";"RACK",#N/A,TRUE,"RACK"}</definedName>
    <definedName name="Coef" localSheetId="3">'[2]Coeficiente resumen'!$J$37</definedName>
    <definedName name="Coef">'[3]Coeficiente resumen'!$J$37</definedName>
    <definedName name="DS10YR" localSheetId="5">#REF!</definedName>
    <definedName name="DS10YR" localSheetId="4">#REF!</definedName>
    <definedName name="DS10YR" localSheetId="8">#REF!</definedName>
    <definedName name="DS10YR" localSheetId="1">#REF!</definedName>
    <definedName name="DS10YR" localSheetId="0">#REF!</definedName>
    <definedName name="DS10YR" localSheetId="2">#REF!</definedName>
    <definedName name="DS10YR" localSheetId="3">#REF!</definedName>
    <definedName name="DS10YR">#REF!</definedName>
    <definedName name="DS7YR" localSheetId="5">#REF!</definedName>
    <definedName name="DS7YR" localSheetId="4">#REF!</definedName>
    <definedName name="DS7YR" localSheetId="8">#REF!</definedName>
    <definedName name="DS7YR" localSheetId="1">#REF!</definedName>
    <definedName name="DS7YR" localSheetId="0">#REF!</definedName>
    <definedName name="DS7YR" localSheetId="2">#REF!</definedName>
    <definedName name="DS7YR" localSheetId="3">#REF!</definedName>
    <definedName name="DS7YR">#REF!</definedName>
    <definedName name="DSACQ" localSheetId="5">#REF!</definedName>
    <definedName name="DSACQ" localSheetId="4">#REF!</definedName>
    <definedName name="DSACQ" localSheetId="8">#REF!</definedName>
    <definedName name="DSACQ" localSheetId="1">#REF!</definedName>
    <definedName name="DSACQ" localSheetId="0">#REF!</definedName>
    <definedName name="DSACQ" localSheetId="2">#REF!</definedName>
    <definedName name="DSACQ" localSheetId="3">#REF!</definedName>
    <definedName name="DSACQ">#REF!</definedName>
    <definedName name="DSAE" localSheetId="4">#REF!</definedName>
    <definedName name="DSAE" localSheetId="8">#REF!</definedName>
    <definedName name="DSAE" localSheetId="1">#REF!</definedName>
    <definedName name="DSAE" localSheetId="0">#REF!</definedName>
    <definedName name="DSAE" localSheetId="2">#REF!</definedName>
    <definedName name="DSAE" localSheetId="3">#REF!</definedName>
    <definedName name="DSAE">#REF!</definedName>
    <definedName name="DSBLDG" localSheetId="4">#REF!</definedName>
    <definedName name="DSBLDG" localSheetId="8">#REF!</definedName>
    <definedName name="DSBLDG" localSheetId="1">#REF!</definedName>
    <definedName name="DSBLDG" localSheetId="0">#REF!</definedName>
    <definedName name="DSBLDG" localSheetId="2">#REF!</definedName>
    <definedName name="DSBLDG" localSheetId="3">#REF!</definedName>
    <definedName name="DSBLDG">#REF!</definedName>
    <definedName name="DSLEGAL" localSheetId="4">#REF!</definedName>
    <definedName name="DSLEGAL" localSheetId="8">#REF!</definedName>
    <definedName name="DSLEGAL" localSheetId="1">#REF!</definedName>
    <definedName name="DSLEGAL" localSheetId="0">#REF!</definedName>
    <definedName name="DSLEGAL" localSheetId="2">#REF!</definedName>
    <definedName name="DSLEGAL" localSheetId="3">#REF!</definedName>
    <definedName name="DSLEGAL">#REF!</definedName>
    <definedName name="DSLHI" localSheetId="4">#REF!</definedName>
    <definedName name="DSLHI" localSheetId="8">#REF!</definedName>
    <definedName name="DSLHI" localSheetId="1">#REF!</definedName>
    <definedName name="DSLHI" localSheetId="0">#REF!</definedName>
    <definedName name="DSLHI" localSheetId="2">#REF!</definedName>
    <definedName name="DSLHI" localSheetId="3">#REF!</definedName>
    <definedName name="DSLHI">#REF!</definedName>
    <definedName name="DSSITE" localSheetId="4">#REF!</definedName>
    <definedName name="DSSITE" localSheetId="8">#REF!</definedName>
    <definedName name="DSSITE" localSheetId="1">#REF!</definedName>
    <definedName name="DSSITE" localSheetId="0">#REF!</definedName>
    <definedName name="DSSITE" localSheetId="2">#REF!</definedName>
    <definedName name="DSSITE" localSheetId="3">#REF!</definedName>
    <definedName name="DSSITE">#REF!</definedName>
    <definedName name="DSSS" localSheetId="4">#REF!</definedName>
    <definedName name="DSSS" localSheetId="8">#REF!</definedName>
    <definedName name="DSSS" localSheetId="1">#REF!</definedName>
    <definedName name="DSSS" localSheetId="0">#REF!</definedName>
    <definedName name="DSSS" localSheetId="2">#REF!</definedName>
    <definedName name="DSSS" localSheetId="3">#REF!</definedName>
    <definedName name="DSSS">#REF!</definedName>
    <definedName name="FORM_OC" localSheetId="4">#REF!</definedName>
    <definedName name="FORM_OC" localSheetId="8">#REF!</definedName>
    <definedName name="FORM_OC" localSheetId="1">#REF!</definedName>
    <definedName name="FORM_OC" localSheetId="0">#REF!</definedName>
    <definedName name="FORM_OC" localSheetId="2">#REF!</definedName>
    <definedName name="FORM_OC" localSheetId="3">#REF!</definedName>
    <definedName name="FORM_OC">#REF!</definedName>
    <definedName name="guarderia" localSheetId="4">#REF!</definedName>
    <definedName name="guarderia" localSheetId="8">#REF!</definedName>
    <definedName name="guarderia" localSheetId="1">#REF!</definedName>
    <definedName name="guarderia" localSheetId="0">#REF!</definedName>
    <definedName name="guarderia" localSheetId="2">#REF!</definedName>
    <definedName name="guarderia" localSheetId="3">#REF!</definedName>
    <definedName name="guarderia">#REF!</definedName>
    <definedName name="Incidencia" localSheetId="4">#REF!</definedName>
    <definedName name="Incidencia" localSheetId="8">#REF!</definedName>
    <definedName name="Incidencia" localSheetId="1">#REF!</definedName>
    <definedName name="Incidencia" localSheetId="0">#REF!</definedName>
    <definedName name="Incidencia" localSheetId="2">#REF!</definedName>
    <definedName name="Incidencia" localSheetId="3">#REF!</definedName>
    <definedName name="Incidencia" localSheetId="7">'Plan de Trabajos'!$D$15:$D$41</definedName>
    <definedName name="Incidencia">#REF!</definedName>
    <definedName name="INDIR" localSheetId="4">#REF!</definedName>
    <definedName name="INDIR" localSheetId="8">#REF!</definedName>
    <definedName name="INDIR" localSheetId="1">#REF!</definedName>
    <definedName name="INDIR" localSheetId="0">#REF!</definedName>
    <definedName name="INDIR" localSheetId="2">#REF!</definedName>
    <definedName name="INDIR" localSheetId="3">#REF!</definedName>
    <definedName name="INDIR">#REF!</definedName>
    <definedName name="PASE" localSheetId="4">#REF!</definedName>
    <definedName name="PASE" localSheetId="8">#REF!</definedName>
    <definedName name="PASE" localSheetId="1">#REF!</definedName>
    <definedName name="PASE" localSheetId="0">#REF!</definedName>
    <definedName name="PASE" localSheetId="2">#REF!</definedName>
    <definedName name="PASE" localSheetId="3">#REF!</definedName>
    <definedName name="PASE">#REF!</definedName>
    <definedName name="PR10YR" localSheetId="4">#REF!</definedName>
    <definedName name="PR10YR" localSheetId="8">#REF!</definedName>
    <definedName name="PR10YR" localSheetId="1">#REF!</definedName>
    <definedName name="PR10YR" localSheetId="0">#REF!</definedName>
    <definedName name="PR10YR" localSheetId="2">#REF!</definedName>
    <definedName name="PR10YR" localSheetId="3">#REF!</definedName>
    <definedName name="PR10YR">#REF!</definedName>
    <definedName name="PR7YR" localSheetId="4">#REF!</definedName>
    <definedName name="PR7YR" localSheetId="8">#REF!</definedName>
    <definedName name="PR7YR" localSheetId="1">#REF!</definedName>
    <definedName name="PR7YR" localSheetId="0">#REF!</definedName>
    <definedName name="PR7YR" localSheetId="2">#REF!</definedName>
    <definedName name="PR7YR" localSheetId="3">#REF!</definedName>
    <definedName name="PR7YR">#REF!</definedName>
    <definedName name="PRACQ" localSheetId="4">#REF!</definedName>
    <definedName name="PRACQ" localSheetId="8">#REF!</definedName>
    <definedName name="PRACQ" localSheetId="1">#REF!</definedName>
    <definedName name="PRACQ" localSheetId="0">#REF!</definedName>
    <definedName name="PRACQ" localSheetId="2">#REF!</definedName>
    <definedName name="PRACQ" localSheetId="3">#REF!</definedName>
    <definedName name="PRACQ">#REF!</definedName>
    <definedName name="PRAE" localSheetId="4">#REF!</definedName>
    <definedName name="PRAE" localSheetId="8">#REF!</definedName>
    <definedName name="PRAE" localSheetId="1">#REF!</definedName>
    <definedName name="PRAE" localSheetId="0">#REF!</definedName>
    <definedName name="PRAE" localSheetId="2">#REF!</definedName>
    <definedName name="PRAE" localSheetId="3">#REF!</definedName>
    <definedName name="PRAE">#REF!</definedName>
    <definedName name="PRBLDG" localSheetId="4">#REF!</definedName>
    <definedName name="PRBLDG" localSheetId="8">#REF!</definedName>
    <definedName name="PRBLDG" localSheetId="1">#REF!</definedName>
    <definedName name="PRBLDG" localSheetId="0">#REF!</definedName>
    <definedName name="PRBLDG" localSheetId="2">#REF!</definedName>
    <definedName name="PRBLDG" localSheetId="3">#REF!</definedName>
    <definedName name="PRBLDG">#REF!</definedName>
    <definedName name="Presupuesto" localSheetId="4">#REF!</definedName>
    <definedName name="Presupuesto" localSheetId="8">#REF!</definedName>
    <definedName name="Presupuesto" localSheetId="1">#REF!</definedName>
    <definedName name="Presupuesto" localSheetId="0">#REF!</definedName>
    <definedName name="Presupuesto" localSheetId="2">#REF!</definedName>
    <definedName name="Presupuesto" localSheetId="3">#REF!</definedName>
    <definedName name="Presupuesto">#REF!</definedName>
    <definedName name="Print_Area_MI" localSheetId="4">#REF!</definedName>
    <definedName name="Print_Area_MI" localSheetId="8">#REF!</definedName>
    <definedName name="Print_Area_MI" localSheetId="1">#REF!</definedName>
    <definedName name="Print_Area_MI" localSheetId="0">#REF!</definedName>
    <definedName name="Print_Area_MI" localSheetId="2">#REF!</definedName>
    <definedName name="Print_Area_MI" localSheetId="3">#REF!</definedName>
    <definedName name="Print_Area_MI">#REF!</definedName>
    <definedName name="PRLEGAL" localSheetId="4">#REF!</definedName>
    <definedName name="PRLEGAL" localSheetId="8">#REF!</definedName>
    <definedName name="PRLEGAL" localSheetId="1">#REF!</definedName>
    <definedName name="PRLEGAL" localSheetId="0">#REF!</definedName>
    <definedName name="PRLEGAL" localSheetId="2">#REF!</definedName>
    <definedName name="PRLEGAL" localSheetId="3">#REF!</definedName>
    <definedName name="PRLEGAL">#REF!</definedName>
    <definedName name="PRLHI" localSheetId="4">#REF!</definedName>
    <definedName name="PRLHI" localSheetId="8">#REF!</definedName>
    <definedName name="PRLHI" localSheetId="1">#REF!</definedName>
    <definedName name="PRLHI" localSheetId="0">#REF!</definedName>
    <definedName name="PRLHI" localSheetId="2">#REF!</definedName>
    <definedName name="PRLHI" localSheetId="3">#REF!</definedName>
    <definedName name="PRLHI">#REF!</definedName>
    <definedName name="PRSITE" localSheetId="4">#REF!</definedName>
    <definedName name="PRSITE" localSheetId="8">#REF!</definedName>
    <definedName name="PRSITE" localSheetId="1">#REF!</definedName>
    <definedName name="PRSITE" localSheetId="0">#REF!</definedName>
    <definedName name="PRSITE" localSheetId="2">#REF!</definedName>
    <definedName name="PRSITE" localSheetId="3">#REF!</definedName>
    <definedName name="PRSITE">#REF!</definedName>
    <definedName name="PRSS" localSheetId="4">#REF!</definedName>
    <definedName name="PRSS" localSheetId="8">#REF!</definedName>
    <definedName name="PRSS" localSheetId="1">#REF!</definedName>
    <definedName name="PRSS" localSheetId="0">#REF!</definedName>
    <definedName name="PRSS" localSheetId="2">#REF!</definedName>
    <definedName name="PRSS" localSheetId="3">#REF!</definedName>
    <definedName name="PRSS">#REF!</definedName>
    <definedName name="q" localSheetId="4" hidden="1">{"OTHER",#N/A,TRUE,"OTHER";"RACK",#N/A,TRUE,"RACK"}</definedName>
    <definedName name="q" localSheetId="8" hidden="1">{"OTHER",#N/A,TRUE,"OTHER";"RACK",#N/A,TRUE,"RACK"}</definedName>
    <definedName name="q" localSheetId="1" hidden="1">{"OTHER",#N/A,TRUE,"OTHER";"RACK",#N/A,TRUE,"RACK"}</definedName>
    <definedName name="q" localSheetId="0" hidden="1">{"OTHER",#N/A,TRUE,"OTHER";"RACK",#N/A,TRUE,"RACK"}</definedName>
    <definedName name="q" localSheetId="2" hidden="1">{"OTHER",#N/A,TRUE,"OTHER";"RACK",#N/A,TRUE,"RACK"}</definedName>
    <definedName name="q" localSheetId="3" hidden="1">{"OTHER",#N/A,TRUE,"OTHER";"RACK",#N/A,TRUE,"RACK"}</definedName>
    <definedName name="q" hidden="1">{"OTHER",#N/A,TRUE,"OTHER";"RACK",#N/A,TRUE,"RACK"}</definedName>
    <definedName name="SHARED_FORMULA_0">#N/A</definedName>
    <definedName name="SHARED_FORMULA_1">#N/A</definedName>
    <definedName name="SHARED_FORMULA_10">#N/A</definedName>
    <definedName name="SHARED_FORMULA_100">#N/A</definedName>
    <definedName name="SHARED_FORMULA_101">#N/A</definedName>
    <definedName name="SHARED_FORMULA_102">#N/A</definedName>
    <definedName name="SHARED_FORMULA_103">#N/A</definedName>
    <definedName name="SHARED_FORMULA_104">#N/A</definedName>
    <definedName name="SHARED_FORMULA_105">#N/A</definedName>
    <definedName name="SHARED_FORMULA_106">#N/A</definedName>
    <definedName name="SHARED_FORMULA_107">#N/A</definedName>
    <definedName name="SHARED_FORMULA_11">#N/A</definedName>
    <definedName name="SHARED_FORMULA_12">#N/A</definedName>
    <definedName name="SHARED_FORMULA_13">#N/A</definedName>
    <definedName name="SHARED_FORMULA_14">#N/A</definedName>
    <definedName name="SHARED_FORMULA_15">#N/A</definedName>
    <definedName name="SHARED_FORMULA_16">#N/A</definedName>
    <definedName name="SHARED_FORMULA_17">#N/A</definedName>
    <definedName name="SHARED_FORMULA_18">#N/A</definedName>
    <definedName name="SHARED_FORMULA_19">#N/A</definedName>
    <definedName name="SHARED_FORMULA_2">#N/A</definedName>
    <definedName name="SHARED_FORMULA_20">#N/A</definedName>
    <definedName name="SHARED_FORMULA_21">#N/A</definedName>
    <definedName name="SHARED_FORMULA_22">#N/A</definedName>
    <definedName name="SHARED_FORMULA_23">#N/A</definedName>
    <definedName name="SHARED_FORMULA_24">#N/A</definedName>
    <definedName name="SHARED_FORMULA_25">#N/A</definedName>
    <definedName name="SHARED_FORMULA_26">#N/A</definedName>
    <definedName name="SHARED_FORMULA_27">#N/A</definedName>
    <definedName name="SHARED_FORMULA_28">#N/A</definedName>
    <definedName name="SHARED_FORMULA_29">#N/A</definedName>
    <definedName name="SHARED_FORMULA_3">#N/A</definedName>
    <definedName name="SHARED_FORMULA_30">#N/A</definedName>
    <definedName name="SHARED_FORMULA_31">#N/A</definedName>
    <definedName name="SHARED_FORMULA_32">#N/A</definedName>
    <definedName name="SHARED_FORMULA_33">#N/A</definedName>
    <definedName name="SHARED_FORMULA_34">#N/A</definedName>
    <definedName name="SHARED_FORMULA_35">#N/A</definedName>
    <definedName name="SHARED_FORMULA_36">#N/A</definedName>
    <definedName name="SHARED_FORMULA_37">#N/A</definedName>
    <definedName name="SHARED_FORMULA_38">#N/A</definedName>
    <definedName name="SHARED_FORMULA_39">#N/A</definedName>
    <definedName name="SHARED_FORMULA_4">#N/A</definedName>
    <definedName name="SHARED_FORMULA_40">#N/A</definedName>
    <definedName name="SHARED_FORMULA_41">#N/A</definedName>
    <definedName name="SHARED_FORMULA_42">#N/A</definedName>
    <definedName name="SHARED_FORMULA_43">#N/A</definedName>
    <definedName name="SHARED_FORMULA_44">#N/A</definedName>
    <definedName name="SHARED_FORMULA_45">#N/A</definedName>
    <definedName name="SHARED_FORMULA_46">#N/A</definedName>
    <definedName name="SHARED_FORMULA_47">#N/A</definedName>
    <definedName name="SHARED_FORMULA_48">#N/A</definedName>
    <definedName name="SHARED_FORMULA_49">#N/A</definedName>
    <definedName name="SHARED_FORMULA_5">#N/A</definedName>
    <definedName name="SHARED_FORMULA_50">#N/A</definedName>
    <definedName name="SHARED_FORMULA_51">#N/A</definedName>
    <definedName name="SHARED_FORMULA_52">#N/A</definedName>
    <definedName name="SHARED_FORMULA_53">#N/A</definedName>
    <definedName name="SHARED_FORMULA_54">#N/A</definedName>
    <definedName name="SHARED_FORMULA_55">#N/A</definedName>
    <definedName name="SHARED_FORMULA_56">#N/A</definedName>
    <definedName name="SHARED_FORMULA_57">#N/A</definedName>
    <definedName name="SHARED_FORMULA_58">#N/A</definedName>
    <definedName name="SHARED_FORMULA_59">#N/A</definedName>
    <definedName name="SHARED_FORMULA_6">#N/A</definedName>
    <definedName name="SHARED_FORMULA_60">#N/A</definedName>
    <definedName name="SHARED_FORMULA_61">#N/A</definedName>
    <definedName name="SHARED_FORMULA_62">#N/A</definedName>
    <definedName name="SHARED_FORMULA_63">#N/A</definedName>
    <definedName name="SHARED_FORMULA_64">#N/A</definedName>
    <definedName name="SHARED_FORMULA_65">#N/A</definedName>
    <definedName name="SHARED_FORMULA_66">#N/A</definedName>
    <definedName name="SHARED_FORMULA_67">#N/A</definedName>
    <definedName name="SHARED_FORMULA_68">#N/A</definedName>
    <definedName name="SHARED_FORMULA_69">#N/A</definedName>
    <definedName name="SHARED_FORMULA_7">#N/A</definedName>
    <definedName name="SHARED_FORMULA_70">#N/A</definedName>
    <definedName name="SHARED_FORMULA_71">#N/A</definedName>
    <definedName name="SHARED_FORMULA_72">#N/A</definedName>
    <definedName name="SHARED_FORMULA_73">#N/A</definedName>
    <definedName name="SHARED_FORMULA_74">#N/A</definedName>
    <definedName name="SHARED_FORMULA_75">#N/A</definedName>
    <definedName name="SHARED_FORMULA_76">#N/A</definedName>
    <definedName name="SHARED_FORMULA_77">#N/A</definedName>
    <definedName name="SHARED_FORMULA_78">#N/A</definedName>
    <definedName name="SHARED_FORMULA_79">#N/A</definedName>
    <definedName name="SHARED_FORMULA_8">#N/A</definedName>
    <definedName name="SHARED_FORMULA_80">#N/A</definedName>
    <definedName name="SHARED_FORMULA_81">#N/A</definedName>
    <definedName name="SHARED_FORMULA_82">#N/A</definedName>
    <definedName name="SHARED_FORMULA_83">#N/A</definedName>
    <definedName name="SHARED_FORMULA_84">#N/A</definedName>
    <definedName name="SHARED_FORMULA_85">#N/A</definedName>
    <definedName name="SHARED_FORMULA_86">#N/A</definedName>
    <definedName name="SHARED_FORMULA_87">#N/A</definedName>
    <definedName name="SHARED_FORMULA_88">#N/A</definedName>
    <definedName name="SHARED_FORMULA_89">#N/A</definedName>
    <definedName name="SHARED_FORMULA_9">#N/A</definedName>
    <definedName name="SHARED_FORMULA_90">#N/A</definedName>
    <definedName name="SHARED_FORMULA_91">#N/A</definedName>
    <definedName name="SHARED_FORMULA_92">#N/A</definedName>
    <definedName name="SHARED_FORMULA_93">#N/A</definedName>
    <definedName name="SHARED_FORMULA_94">#N/A</definedName>
    <definedName name="SHARED_FORMULA_95">#N/A</definedName>
    <definedName name="SHARED_FORMULA_96">#N/A</definedName>
    <definedName name="SHARED_FORMULA_97">#N/A</definedName>
    <definedName name="SHARED_FORMULA_98">#N/A</definedName>
    <definedName name="SHARED_FORMULA_99">#N/A</definedName>
    <definedName name="_xlnm.Print_Titles" localSheetId="5">Análisis!$1:$16</definedName>
    <definedName name="_xlnm.Print_Titles" localSheetId="4">'Coef. resumen'!$1:$14</definedName>
    <definedName name="_xlnm.Print_Titles" localSheetId="3">'MAT 31-10-2013'!$1:$3</definedName>
    <definedName name="_xlnm.Print_Titles" localSheetId="6">Presupuesto!$1:$17</definedName>
    <definedName name="Títulos_a_imprimir_IM" localSheetId="5">#REF!</definedName>
    <definedName name="Títulos_a_imprimir_IM" localSheetId="4">#REF!</definedName>
    <definedName name="Títulos_a_imprimir_IM" localSheetId="8">#REF!</definedName>
    <definedName name="Títulos_a_imprimir_IM" localSheetId="1">#REF!</definedName>
    <definedName name="Títulos_a_imprimir_IM" localSheetId="0">#REF!</definedName>
    <definedName name="Títulos_a_imprimir_IM" localSheetId="2">#REF!</definedName>
    <definedName name="Títulos_a_imprimir_IM" localSheetId="3">#REF!</definedName>
    <definedName name="Títulos_a_imprimir_IM">#REF!</definedName>
    <definedName name="Total" localSheetId="5">#REF!</definedName>
    <definedName name="Total" localSheetId="4">#REF!</definedName>
    <definedName name="Total" localSheetId="8">#REF!</definedName>
    <definedName name="Total" localSheetId="1">#REF!</definedName>
    <definedName name="Total" localSheetId="0">#REF!</definedName>
    <definedName name="Total" localSheetId="2">#REF!</definedName>
    <definedName name="Total" localSheetId="3">#REF!</definedName>
    <definedName name="Total">#REF!</definedName>
    <definedName name="w" localSheetId="4" hidden="1">{"OTHER",#N/A,TRUE,"OTHER";"RACK",#N/A,TRUE,"RACK"}</definedName>
    <definedName name="w" localSheetId="8" hidden="1">{"OTHER",#N/A,TRUE,"OTHER";"RACK",#N/A,TRUE,"RACK"}</definedName>
    <definedName name="w" localSheetId="1" hidden="1">{"OTHER",#N/A,TRUE,"OTHER";"RACK",#N/A,TRUE,"RACK"}</definedName>
    <definedName name="w" localSheetId="0" hidden="1">{"OTHER",#N/A,TRUE,"OTHER";"RACK",#N/A,TRUE,"RACK"}</definedName>
    <definedName name="w" localSheetId="2" hidden="1">{"OTHER",#N/A,TRUE,"OTHER";"RACK",#N/A,TRUE,"RACK"}</definedName>
    <definedName name="w" localSheetId="3" hidden="1">{"OTHER",#N/A,TRUE,"OTHER";"RACK",#N/A,TRUE,"RACK"}</definedName>
    <definedName name="w" hidden="1">{"OTHER",#N/A,TRUE,"OTHER";"RACK",#N/A,TRUE,"RACK"}</definedName>
    <definedName name="wrn.NSOF." localSheetId="5" hidden="1">{"OTHER",#N/A,TRUE,"OTHER";"RACK",#N/A,TRUE,"RACK"}</definedName>
    <definedName name="wrn.NSOF." localSheetId="4" hidden="1">{"OTHER",#N/A,TRUE,"OTHER";"RACK",#N/A,TRUE,"RACK"}</definedName>
    <definedName name="wrn.NSOF." localSheetId="8" hidden="1">{"OTHER",#N/A,TRUE,"OTHER";"RACK",#N/A,TRUE,"RACK"}</definedName>
    <definedName name="wrn.NSOF." localSheetId="1" hidden="1">{"OTHER",#N/A,TRUE,"OTHER";"RACK",#N/A,TRUE,"RACK"}</definedName>
    <definedName name="wrn.NSOF." localSheetId="0" hidden="1">{"OTHER",#N/A,TRUE,"OTHER";"RACK",#N/A,TRUE,"RACK"}</definedName>
    <definedName name="wrn.NSOF." localSheetId="2" hidden="1">{"OTHER",#N/A,TRUE,"OTHER";"RACK",#N/A,TRUE,"RACK"}</definedName>
    <definedName name="wrn.NSOF." localSheetId="3" hidden="1">{"OTHER",#N/A,TRUE,"OTHER";"RACK",#N/A,TRUE,"RACK"}</definedName>
    <definedName name="wrn.NSOF." hidden="1">{"OTHER",#N/A,TRUE,"OTHER";"RACK",#N/A,TRUE,"RACK"}</definedName>
  </definedNames>
  <calcPr calcId="125725"/>
</workbook>
</file>

<file path=xl/calcChain.xml><?xml version="1.0" encoding="utf-8"?>
<calcChain xmlns="http://schemas.openxmlformats.org/spreadsheetml/2006/main">
  <c r="E2975" i="51"/>
  <c r="B2975"/>
  <c r="E2974"/>
  <c r="B2974"/>
  <c r="E2973"/>
  <c r="B2973"/>
  <c r="E2935"/>
  <c r="B2935"/>
  <c r="E2934"/>
  <c r="B2934"/>
  <c r="E2933"/>
  <c r="B2933"/>
  <c r="E2895"/>
  <c r="B2895"/>
  <c r="E2894"/>
  <c r="B2894"/>
  <c r="E2893"/>
  <c r="B2893"/>
  <c r="E2855"/>
  <c r="B2855"/>
  <c r="E2854"/>
  <c r="B2854"/>
  <c r="E2853"/>
  <c r="B2853"/>
  <c r="E2815"/>
  <c r="B2815"/>
  <c r="E2814"/>
  <c r="B2814"/>
  <c r="E2813"/>
  <c r="B2813"/>
  <c r="E2775"/>
  <c r="B2775"/>
  <c r="E2774"/>
  <c r="B2774"/>
  <c r="E2773"/>
  <c r="B2773"/>
  <c r="E2735"/>
  <c r="B2735"/>
  <c r="E2734"/>
  <c r="B2734"/>
  <c r="E2733"/>
  <c r="B2733"/>
  <c r="E2695"/>
  <c r="B2695"/>
  <c r="E2694"/>
  <c r="B2694"/>
  <c r="E2693"/>
  <c r="B2693"/>
  <c r="E2655"/>
  <c r="B2655"/>
  <c r="E2654"/>
  <c r="B2654"/>
  <c r="E2653"/>
  <c r="B2653"/>
  <c r="E2615"/>
  <c r="B2615"/>
  <c r="E2614"/>
  <c r="B2614"/>
  <c r="E2613"/>
  <c r="B2613"/>
  <c r="E2575"/>
  <c r="B2575"/>
  <c r="E2574"/>
  <c r="B2574"/>
  <c r="E2573"/>
  <c r="B2573"/>
  <c r="E2535"/>
  <c r="B2535"/>
  <c r="E2534"/>
  <c r="B2534"/>
  <c r="E2533"/>
  <c r="B2533"/>
  <c r="E2495"/>
  <c r="B2495"/>
  <c r="E2494"/>
  <c r="B2494"/>
  <c r="E2493"/>
  <c r="B2493"/>
  <c r="E2455"/>
  <c r="B2455"/>
  <c r="E2454"/>
  <c r="B2454"/>
  <c r="E2453"/>
  <c r="B2453"/>
  <c r="E2415"/>
  <c r="B2415"/>
  <c r="E2414"/>
  <c r="B2414"/>
  <c r="E2413"/>
  <c r="B2413"/>
  <c r="E2375"/>
  <c r="B2375"/>
  <c r="E2374"/>
  <c r="B2374"/>
  <c r="E2373"/>
  <c r="B2373"/>
  <c r="E2335"/>
  <c r="B2335"/>
  <c r="E2334"/>
  <c r="B2334"/>
  <c r="E2333"/>
  <c r="B2333"/>
  <c r="E2295"/>
  <c r="B2295"/>
  <c r="E2294"/>
  <c r="B2294"/>
  <c r="E2293"/>
  <c r="B2293"/>
  <c r="E2255"/>
  <c r="B2255"/>
  <c r="E2254"/>
  <c r="B2254"/>
  <c r="E2253"/>
  <c r="B2253"/>
  <c r="E2215"/>
  <c r="B2215"/>
  <c r="E2214"/>
  <c r="B2214"/>
  <c r="E2213"/>
  <c r="B2213"/>
  <c r="E2175"/>
  <c r="B2175"/>
  <c r="E2174"/>
  <c r="B2174"/>
  <c r="E2173"/>
  <c r="B2173"/>
  <c r="E2135"/>
  <c r="B2135"/>
  <c r="E2134"/>
  <c r="B2134"/>
  <c r="E2133"/>
  <c r="B2133"/>
  <c r="E2095"/>
  <c r="B2095"/>
  <c r="E2094"/>
  <c r="B2094"/>
  <c r="E2093"/>
  <c r="B2093"/>
  <c r="E2055"/>
  <c r="B2055"/>
  <c r="E2054"/>
  <c r="B2054"/>
  <c r="E2053"/>
  <c r="B2053"/>
  <c r="E2015"/>
  <c r="B2015"/>
  <c r="E2014"/>
  <c r="B2014"/>
  <c r="E2013"/>
  <c r="B2013"/>
  <c r="E1975"/>
  <c r="B1975"/>
  <c r="E1974"/>
  <c r="B1974"/>
  <c r="E1973"/>
  <c r="B1973"/>
  <c r="E1935"/>
  <c r="B1935"/>
  <c r="E1934"/>
  <c r="B1934"/>
  <c r="E1933"/>
  <c r="B1933"/>
  <c r="E1895"/>
  <c r="B1895"/>
  <c r="E1894"/>
  <c r="B1894"/>
  <c r="E1893"/>
  <c r="B1893"/>
  <c r="E1855"/>
  <c r="B1855"/>
  <c r="E1854"/>
  <c r="B1854"/>
  <c r="E1853"/>
  <c r="B1853"/>
  <c r="E1815"/>
  <c r="B1815"/>
  <c r="E1814"/>
  <c r="B1814"/>
  <c r="E1813"/>
  <c r="B1813"/>
  <c r="E1775"/>
  <c r="B1775"/>
  <c r="E1774"/>
  <c r="B1774"/>
  <c r="E1773"/>
  <c r="B1773"/>
  <c r="E1735"/>
  <c r="B1735"/>
  <c r="E1734"/>
  <c r="B1734"/>
  <c r="E1733"/>
  <c r="B1733"/>
  <c r="E1695"/>
  <c r="B1695"/>
  <c r="E1694"/>
  <c r="B1694"/>
  <c r="E1693"/>
  <c r="B1693"/>
  <c r="E1655"/>
  <c r="B1655"/>
  <c r="E1654"/>
  <c r="B1654"/>
  <c r="E1653"/>
  <c r="B1653"/>
  <c r="E1615"/>
  <c r="B1615"/>
  <c r="E1614"/>
  <c r="B1614"/>
  <c r="E1613"/>
  <c r="B1613"/>
  <c r="E1575"/>
  <c r="B1575"/>
  <c r="E1574"/>
  <c r="B1574"/>
  <c r="E1573"/>
  <c r="B1573"/>
  <c r="E1535"/>
  <c r="B1535"/>
  <c r="E1534"/>
  <c r="B1534"/>
  <c r="E1533"/>
  <c r="B1533"/>
  <c r="E1495"/>
  <c r="B1495"/>
  <c r="E1494"/>
  <c r="B1494"/>
  <c r="E1493"/>
  <c r="B1493"/>
  <c r="E1455"/>
  <c r="B1455"/>
  <c r="E1454"/>
  <c r="B1454"/>
  <c r="E1453"/>
  <c r="B1453"/>
  <c r="E1415"/>
  <c r="B1415"/>
  <c r="E1414"/>
  <c r="B1414"/>
  <c r="E1413"/>
  <c r="B1413"/>
  <c r="E1375"/>
  <c r="B1375"/>
  <c r="E1374"/>
  <c r="B1374"/>
  <c r="E1373"/>
  <c r="B1373"/>
  <c r="E1335"/>
  <c r="B1335"/>
  <c r="E1334"/>
  <c r="B1334"/>
  <c r="E1333"/>
  <c r="B1333"/>
  <c r="E1295"/>
  <c r="B1295"/>
  <c r="E1294"/>
  <c r="B1294"/>
  <c r="E1293"/>
  <c r="B1293"/>
  <c r="E1255"/>
  <c r="B1255"/>
  <c r="E1254"/>
  <c r="B1254"/>
  <c r="E1253"/>
  <c r="B1253"/>
  <c r="E1215"/>
  <c r="B1215"/>
  <c r="E1214"/>
  <c r="B1214"/>
  <c r="E1213"/>
  <c r="B1213"/>
  <c r="E1175"/>
  <c r="B1175"/>
  <c r="E1174"/>
  <c r="B1174"/>
  <c r="E1173"/>
  <c r="B1173"/>
  <c r="E1135"/>
  <c r="B1135"/>
  <c r="E1134"/>
  <c r="B1134"/>
  <c r="E1133"/>
  <c r="B1133"/>
  <c r="E1095"/>
  <c r="B1095"/>
  <c r="E1094"/>
  <c r="B1094"/>
  <c r="E1093"/>
  <c r="B1093"/>
  <c r="E1055"/>
  <c r="B1055"/>
  <c r="E1054"/>
  <c r="B1054"/>
  <c r="E1053"/>
  <c r="B1053"/>
  <c r="E1015"/>
  <c r="B1015"/>
  <c r="E1014"/>
  <c r="B1014"/>
  <c r="E1013"/>
  <c r="B1013"/>
  <c r="E975"/>
  <c r="B975"/>
  <c r="E974"/>
  <c r="B974"/>
  <c r="E973"/>
  <c r="B973"/>
  <c r="E935"/>
  <c r="B935"/>
  <c r="E934"/>
  <c r="B934"/>
  <c r="E933"/>
  <c r="B933"/>
  <c r="E895"/>
  <c r="B895"/>
  <c r="E894"/>
  <c r="B894"/>
  <c r="E893"/>
  <c r="B893"/>
  <c r="B857"/>
  <c r="E855"/>
  <c r="B855"/>
  <c r="E854"/>
  <c r="B854"/>
  <c r="E853"/>
  <c r="B853"/>
  <c r="E815"/>
  <c r="B815"/>
  <c r="E814"/>
  <c r="B814"/>
  <c r="E813"/>
  <c r="B813"/>
  <c r="E775"/>
  <c r="B775"/>
  <c r="E774"/>
  <c r="B774"/>
  <c r="E773"/>
  <c r="B773"/>
  <c r="E735"/>
  <c r="B735"/>
  <c r="E734"/>
  <c r="B734"/>
  <c r="E733"/>
  <c r="B733"/>
  <c r="E695"/>
  <c r="B695"/>
  <c r="E694"/>
  <c r="B694"/>
  <c r="E693"/>
  <c r="B693"/>
  <c r="E655"/>
  <c r="B655"/>
  <c r="E654"/>
  <c r="B654"/>
  <c r="E653"/>
  <c r="B653"/>
  <c r="E615"/>
  <c r="B615"/>
  <c r="E614"/>
  <c r="B614"/>
  <c r="E613"/>
  <c r="B613"/>
  <c r="E575"/>
  <c r="B575"/>
  <c r="E574"/>
  <c r="B574"/>
  <c r="E573"/>
  <c r="B573"/>
  <c r="E535"/>
  <c r="B535"/>
  <c r="E534"/>
  <c r="B534"/>
  <c r="E533"/>
  <c r="B533"/>
  <c r="E495"/>
  <c r="B495"/>
  <c r="E494"/>
  <c r="B494"/>
  <c r="E493"/>
  <c r="B493"/>
  <c r="E455"/>
  <c r="B455"/>
  <c r="E454"/>
  <c r="B454"/>
  <c r="E453"/>
  <c r="B453"/>
  <c r="E415"/>
  <c r="B415"/>
  <c r="E414"/>
  <c r="B414"/>
  <c r="E413"/>
  <c r="B413"/>
  <c r="E375"/>
  <c r="B375"/>
  <c r="E374"/>
  <c r="B374"/>
  <c r="E373"/>
  <c r="B373"/>
  <c r="E335"/>
  <c r="B335"/>
  <c r="E334"/>
  <c r="B334"/>
  <c r="E333"/>
  <c r="B333"/>
  <c r="E295"/>
  <c r="B295"/>
  <c r="E294"/>
  <c r="B294"/>
  <c r="E293"/>
  <c r="B293"/>
  <c r="E255"/>
  <c r="B255"/>
  <c r="E254"/>
  <c r="B254"/>
  <c r="E253"/>
  <c r="B253"/>
  <c r="E215"/>
  <c r="B215"/>
  <c r="E214"/>
  <c r="B214"/>
  <c r="E213"/>
  <c r="B213"/>
  <c r="E175"/>
  <c r="B175"/>
  <c r="E174"/>
  <c r="B174"/>
  <c r="E173"/>
  <c r="B173"/>
  <c r="E135"/>
  <c r="B135"/>
  <c r="E134"/>
  <c r="B134"/>
  <c r="E133"/>
  <c r="B133"/>
  <c r="E95"/>
  <c r="B95"/>
  <c r="E94"/>
  <c r="B94"/>
  <c r="E93"/>
  <c r="B93"/>
  <c r="E55"/>
  <c r="B55"/>
  <c r="E54"/>
  <c r="B54"/>
  <c r="E53"/>
  <c r="B53"/>
  <c r="F2017"/>
  <c r="A2018"/>
  <c r="F1977"/>
  <c r="E2585"/>
  <c r="Y40" i="56" l="1"/>
  <c r="E2745" i="51"/>
  <c r="E2705"/>
  <c r="E2665"/>
  <c r="E2625"/>
  <c r="E2945"/>
  <c r="I2589"/>
  <c r="D2601"/>
  <c r="F3" i="56"/>
  <c r="G3"/>
  <c r="A5"/>
  <c r="A7"/>
  <c r="A3"/>
  <c r="Y16"/>
  <c r="Y17"/>
  <c r="Y18"/>
  <c r="Y19"/>
  <c r="Y20"/>
  <c r="Y21"/>
  <c r="Y22"/>
  <c r="Y23"/>
  <c r="Y25"/>
  <c r="Y26"/>
  <c r="Y27"/>
  <c r="Y28"/>
  <c r="Y30"/>
  <c r="Y31"/>
  <c r="Y33"/>
  <c r="Y34"/>
  <c r="Y36"/>
  <c r="Y38"/>
  <c r="Y39"/>
  <c r="Y15"/>
  <c r="B35"/>
  <c r="B38"/>
  <c r="B39"/>
  <c r="B40"/>
  <c r="A40"/>
  <c r="A39"/>
  <c r="A38"/>
  <c r="B37"/>
  <c r="A37"/>
  <c r="B36"/>
  <c r="A36"/>
  <c r="A35"/>
  <c r="B33"/>
  <c r="B34"/>
  <c r="A34"/>
  <c r="A33"/>
  <c r="B30"/>
  <c r="B31"/>
  <c r="A31"/>
  <c r="A30"/>
  <c r="A32"/>
  <c r="B32"/>
  <c r="B29"/>
  <c r="A29"/>
  <c r="B24"/>
  <c r="B25"/>
  <c r="B26"/>
  <c r="B27"/>
  <c r="B28"/>
  <c r="A28"/>
  <c r="A27"/>
  <c r="A26"/>
  <c r="A25"/>
  <c r="A24"/>
  <c r="A19"/>
  <c r="B19"/>
  <c r="B20"/>
  <c r="B21"/>
  <c r="B22"/>
  <c r="B23"/>
  <c r="A23"/>
  <c r="A22"/>
  <c r="A21"/>
  <c r="A20"/>
  <c r="B15"/>
  <c r="B16"/>
  <c r="B17"/>
  <c r="B18"/>
  <c r="A17"/>
  <c r="A18"/>
  <c r="A16"/>
  <c r="A15"/>
  <c r="B14"/>
  <c r="A14"/>
  <c r="A10" i="51"/>
  <c r="A12"/>
  <c r="A8"/>
  <c r="F8"/>
  <c r="E8"/>
  <c r="G8" i="50"/>
  <c r="F8"/>
  <c r="A10"/>
  <c r="A12"/>
  <c r="A8"/>
  <c r="D2961" i="51"/>
  <c r="F2937"/>
  <c r="B2937"/>
  <c r="A2938"/>
  <c r="F2965"/>
  <c r="F2956"/>
  <c r="F2955"/>
  <c r="F2954"/>
  <c r="F2953"/>
  <c r="F2952"/>
  <c r="F2951"/>
  <c r="F2950"/>
  <c r="F2949"/>
  <c r="F2945"/>
  <c r="F2897"/>
  <c r="B2897"/>
  <c r="A2898"/>
  <c r="F2925"/>
  <c r="D2921"/>
  <c r="F2916"/>
  <c r="F2915"/>
  <c r="F2914"/>
  <c r="F2913"/>
  <c r="F2912"/>
  <c r="F2911"/>
  <c r="F2910"/>
  <c r="F2909"/>
  <c r="F2908"/>
  <c r="F2905"/>
  <c r="F2857"/>
  <c r="B2857"/>
  <c r="A2858"/>
  <c r="F2885"/>
  <c r="D2881"/>
  <c r="F2876"/>
  <c r="F2875"/>
  <c r="F2874"/>
  <c r="F2873"/>
  <c r="F2872"/>
  <c r="F2871"/>
  <c r="F2870"/>
  <c r="F2869"/>
  <c r="F2868"/>
  <c r="F2865"/>
  <c r="F2817"/>
  <c r="B2817"/>
  <c r="A2818"/>
  <c r="F2845"/>
  <c r="D2841"/>
  <c r="F2836"/>
  <c r="F2835"/>
  <c r="F2834"/>
  <c r="F2833"/>
  <c r="F2832"/>
  <c r="F2831"/>
  <c r="F2830"/>
  <c r="F2829"/>
  <c r="F2828"/>
  <c r="F2825"/>
  <c r="D2801"/>
  <c r="F2777"/>
  <c r="B2777"/>
  <c r="A2778"/>
  <c r="F2805"/>
  <c r="F2796"/>
  <c r="F2795"/>
  <c r="F2794"/>
  <c r="F2793"/>
  <c r="F2792"/>
  <c r="F2791"/>
  <c r="F2790"/>
  <c r="F2789"/>
  <c r="F2788"/>
  <c r="F2785"/>
  <c r="D2564"/>
  <c r="D2562"/>
  <c r="D2561"/>
  <c r="F2537"/>
  <c r="B2537"/>
  <c r="A2538"/>
  <c r="F2497"/>
  <c r="B2497"/>
  <c r="A2498"/>
  <c r="D2524"/>
  <c r="D2522"/>
  <c r="D2521"/>
  <c r="F2125"/>
  <c r="D2121"/>
  <c r="F2116"/>
  <c r="F2115"/>
  <c r="F2114"/>
  <c r="D2107"/>
  <c r="F2105"/>
  <c r="D1921"/>
  <c r="E2312"/>
  <c r="E2072"/>
  <c r="D2271"/>
  <c r="D2270"/>
  <c r="D2269"/>
  <c r="D2268"/>
  <c r="D2267"/>
  <c r="D2266"/>
  <c r="D2265"/>
  <c r="D2042"/>
  <c r="D2044"/>
  <c r="D2028"/>
  <c r="E2225"/>
  <c r="E1985"/>
  <c r="D1961"/>
  <c r="F1885"/>
  <c r="D1881"/>
  <c r="F1876"/>
  <c r="F1875"/>
  <c r="F1874"/>
  <c r="D1867"/>
  <c r="F1865"/>
  <c r="D35" i="58"/>
  <c r="D36" s="1"/>
  <c r="D34"/>
  <c r="D33"/>
  <c r="D32"/>
  <c r="D31"/>
  <c r="D30"/>
  <c r="D29"/>
  <c r="D28"/>
  <c r="D27"/>
  <c r="D644" i="51"/>
  <c r="D643"/>
  <c r="D642"/>
  <c r="D641"/>
  <c r="D604"/>
  <c r="D603"/>
  <c r="D602"/>
  <c r="D601"/>
  <c r="D561"/>
  <c r="D547"/>
  <c r="E434"/>
  <c r="K207" i="57"/>
  <c r="S207"/>
  <c r="R207" s="1"/>
  <c r="E2185" i="51" s="1"/>
  <c r="F2185" s="1"/>
  <c r="K227" i="57"/>
  <c r="K226"/>
  <c r="S226" s="1"/>
  <c r="R226" s="1"/>
  <c r="K225"/>
  <c r="K224"/>
  <c r="S224" s="1"/>
  <c r="R224" s="1"/>
  <c r="E625" i="51" s="1"/>
  <c r="K223" i="57"/>
  <c r="K222"/>
  <c r="S222" s="1"/>
  <c r="R222" s="1"/>
  <c r="E145" i="51" s="1"/>
  <c r="K221" i="57"/>
  <c r="K220"/>
  <c r="S220" s="1"/>
  <c r="R220" s="1"/>
  <c r="E65" i="51" s="1"/>
  <c r="K219" i="57"/>
  <c r="S219"/>
  <c r="R219" s="1"/>
  <c r="S221"/>
  <c r="R221" s="1"/>
  <c r="E105" i="51" s="1"/>
  <c r="S223" i="57"/>
  <c r="R223" s="1"/>
  <c r="E585" i="51" s="1"/>
  <c r="S225" i="57"/>
  <c r="R225" s="1"/>
  <c r="E506" i="51" s="1"/>
  <c r="S227" i="57"/>
  <c r="R227" s="1"/>
  <c r="E385" i="51" s="1"/>
  <c r="F2737"/>
  <c r="B2737"/>
  <c r="A2738"/>
  <c r="F2765"/>
  <c r="D2761"/>
  <c r="F2756"/>
  <c r="F2755"/>
  <c r="F2754"/>
  <c r="F2753"/>
  <c r="F2752"/>
  <c r="F2747"/>
  <c r="F2745"/>
  <c r="F2697"/>
  <c r="B2697"/>
  <c r="A2698"/>
  <c r="F2725"/>
  <c r="D2721"/>
  <c r="F2716"/>
  <c r="F2715"/>
  <c r="F2714"/>
  <c r="F2713"/>
  <c r="F2712"/>
  <c r="F2707"/>
  <c r="F2705"/>
  <c r="F2657"/>
  <c r="B2657"/>
  <c r="A2658"/>
  <c r="F2685"/>
  <c r="D2681"/>
  <c r="F2676"/>
  <c r="F2675"/>
  <c r="F2674"/>
  <c r="F2673"/>
  <c r="F2672"/>
  <c r="F2667"/>
  <c r="F2665"/>
  <c r="D2641"/>
  <c r="F2617"/>
  <c r="B2617"/>
  <c r="A2618"/>
  <c r="F2645"/>
  <c r="F2636"/>
  <c r="F2635"/>
  <c r="F2634"/>
  <c r="F2633"/>
  <c r="F2632"/>
  <c r="F2627"/>
  <c r="F2625"/>
  <c r="F2577"/>
  <c r="B2577"/>
  <c r="A2578"/>
  <c r="F2605"/>
  <c r="F2596"/>
  <c r="F2595"/>
  <c r="F2594"/>
  <c r="F2593"/>
  <c r="F2592"/>
  <c r="F2591"/>
  <c r="F2590"/>
  <c r="F2589"/>
  <c r="F2588"/>
  <c r="F2585"/>
  <c r="E2586" s="1"/>
  <c r="F2565"/>
  <c r="F2556"/>
  <c r="F2555"/>
  <c r="F2554"/>
  <c r="F2553"/>
  <c r="F2552"/>
  <c r="F2551"/>
  <c r="F2550"/>
  <c r="F2549"/>
  <c r="F2548"/>
  <c r="F2545"/>
  <c r="E2546" s="1"/>
  <c r="F2546" s="1"/>
  <c r="F2525"/>
  <c r="F2516"/>
  <c r="F2515"/>
  <c r="F2514"/>
  <c r="F2513"/>
  <c r="F2512"/>
  <c r="F2511"/>
  <c r="F2510"/>
  <c r="F2509"/>
  <c r="F2508"/>
  <c r="F2505"/>
  <c r="E2506" s="1"/>
  <c r="F2506" s="1"/>
  <c r="D2472"/>
  <c r="D2471"/>
  <c r="D2470"/>
  <c r="D2469"/>
  <c r="D2468"/>
  <c r="D2467"/>
  <c r="D2466"/>
  <c r="E2465"/>
  <c r="F2457"/>
  <c r="B2457"/>
  <c r="A2458"/>
  <c r="F2485"/>
  <c r="F2476"/>
  <c r="F2475"/>
  <c r="F2474"/>
  <c r="F2465"/>
  <c r="D2441"/>
  <c r="D2444" s="1"/>
  <c r="F2417"/>
  <c r="B2417"/>
  <c r="A2418"/>
  <c r="F2445"/>
  <c r="F2436"/>
  <c r="F2435"/>
  <c r="F2434"/>
  <c r="F2433"/>
  <c r="F2426"/>
  <c r="F2377"/>
  <c r="B2377"/>
  <c r="A2378"/>
  <c r="F2405"/>
  <c r="F2396"/>
  <c r="F2395"/>
  <c r="F2394"/>
  <c r="D2401"/>
  <c r="F2385"/>
  <c r="D2361"/>
  <c r="F2337"/>
  <c r="B2337"/>
  <c r="A2338"/>
  <c r="F2365"/>
  <c r="F2356"/>
  <c r="F2355"/>
  <c r="F2354"/>
  <c r="F2353"/>
  <c r="F2345"/>
  <c r="F2325"/>
  <c r="F2316"/>
  <c r="F2315"/>
  <c r="F2314"/>
  <c r="F2313"/>
  <c r="F2312"/>
  <c r="D2311"/>
  <c r="D2310"/>
  <c r="D2309"/>
  <c r="D2308"/>
  <c r="D2307"/>
  <c r="D2306"/>
  <c r="D2305"/>
  <c r="D2071"/>
  <c r="D2070"/>
  <c r="D2068"/>
  <c r="D2065"/>
  <c r="D2030"/>
  <c r="D2025"/>
  <c r="D2031"/>
  <c r="D2029"/>
  <c r="D2027"/>
  <c r="D2026"/>
  <c r="F2297"/>
  <c r="B2297"/>
  <c r="A2298"/>
  <c r="F2257"/>
  <c r="B2257"/>
  <c r="A2258"/>
  <c r="F2217"/>
  <c r="B2217"/>
  <c r="A2218"/>
  <c r="D2201"/>
  <c r="D2204"/>
  <c r="D2203"/>
  <c r="D2202"/>
  <c r="F2177"/>
  <c r="B2177"/>
  <c r="A2178"/>
  <c r="D2164"/>
  <c r="D2163"/>
  <c r="D2162"/>
  <c r="F2137"/>
  <c r="B2137"/>
  <c r="A2138"/>
  <c r="F2097"/>
  <c r="B2097"/>
  <c r="A2098"/>
  <c r="F2285"/>
  <c r="F2276"/>
  <c r="F2275"/>
  <c r="F2274"/>
  <c r="F2273"/>
  <c r="F2272"/>
  <c r="F2245"/>
  <c r="D2243"/>
  <c r="D2241"/>
  <c r="F2236"/>
  <c r="F2235"/>
  <c r="F2234"/>
  <c r="F2233"/>
  <c r="F2232"/>
  <c r="F2231"/>
  <c r="F2230"/>
  <c r="F2225"/>
  <c r="E2226" s="1"/>
  <c r="F2205"/>
  <c r="F2196"/>
  <c r="F2195"/>
  <c r="F2194"/>
  <c r="F2193"/>
  <c r="F2192"/>
  <c r="F2191"/>
  <c r="F2190"/>
  <c r="F2187"/>
  <c r="F2165"/>
  <c r="D2161"/>
  <c r="F2156"/>
  <c r="F2155"/>
  <c r="F2154"/>
  <c r="F2153"/>
  <c r="F2152"/>
  <c r="F2151"/>
  <c r="F2150"/>
  <c r="F2147"/>
  <c r="D2069"/>
  <c r="D2067"/>
  <c r="D2066"/>
  <c r="F2057"/>
  <c r="B2057"/>
  <c r="A2058"/>
  <c r="F2085"/>
  <c r="F2076"/>
  <c r="F2075"/>
  <c r="F2074"/>
  <c r="F2073"/>
  <c r="F2072"/>
  <c r="B2017"/>
  <c r="F2045"/>
  <c r="F2036"/>
  <c r="F2035"/>
  <c r="F2034"/>
  <c r="F2033"/>
  <c r="F2032"/>
  <c r="D2001"/>
  <c r="B1977"/>
  <c r="A1978"/>
  <c r="F2005"/>
  <c r="D2003"/>
  <c r="F1996"/>
  <c r="F1995"/>
  <c r="F1994"/>
  <c r="F1993"/>
  <c r="F1992"/>
  <c r="F1991"/>
  <c r="F1990"/>
  <c r="F1985"/>
  <c r="E1986" s="1"/>
  <c r="F1937"/>
  <c r="B1937"/>
  <c r="A1938"/>
  <c r="F1965"/>
  <c r="F1956"/>
  <c r="F1955"/>
  <c r="F1954"/>
  <c r="F1953"/>
  <c r="F1952"/>
  <c r="F1951"/>
  <c r="F1950"/>
  <c r="F1947"/>
  <c r="F1897"/>
  <c r="B1897"/>
  <c r="A1898"/>
  <c r="F1925"/>
  <c r="F1916"/>
  <c r="F1915"/>
  <c r="F1914"/>
  <c r="F1913"/>
  <c r="F1912"/>
  <c r="F1911"/>
  <c r="F1910"/>
  <c r="F1907"/>
  <c r="F1857"/>
  <c r="B1857"/>
  <c r="A1858"/>
  <c r="D841"/>
  <c r="E345" l="1"/>
  <c r="E225"/>
  <c r="E505"/>
  <c r="E185"/>
  <c r="D2481"/>
  <c r="E265"/>
  <c r="E2145"/>
  <c r="F2145" s="1"/>
  <c r="E2146" s="1"/>
  <c r="E305"/>
  <c r="E508"/>
  <c r="F2946"/>
  <c r="E2906"/>
  <c r="F2906" s="1"/>
  <c r="E2866"/>
  <c r="F2866" s="1"/>
  <c r="E2826"/>
  <c r="F2826" s="1"/>
  <c r="E2786"/>
  <c r="F2786" s="1"/>
  <c r="F2586"/>
  <c r="F2146"/>
  <c r="E2186"/>
  <c r="F2186" s="1"/>
  <c r="F2226"/>
  <c r="F1986"/>
  <c r="E2947" l="1"/>
  <c r="F2947" s="1"/>
  <c r="F1817"/>
  <c r="B1817"/>
  <c r="A1818"/>
  <c r="F1845"/>
  <c r="F1836"/>
  <c r="F1835"/>
  <c r="F1834"/>
  <c r="F1833"/>
  <c r="F1832"/>
  <c r="F1831"/>
  <c r="F1830"/>
  <c r="F1829"/>
  <c r="F1777"/>
  <c r="B1777"/>
  <c r="A1778"/>
  <c r="F1805"/>
  <c r="F1796"/>
  <c r="F1795"/>
  <c r="F1794"/>
  <c r="F1793"/>
  <c r="F1792"/>
  <c r="F1791"/>
  <c r="D1790"/>
  <c r="D1789"/>
  <c r="D1788"/>
  <c r="D1787"/>
  <c r="D1786"/>
  <c r="F1737"/>
  <c r="B1737"/>
  <c r="A1738"/>
  <c r="F1765"/>
  <c r="F1756"/>
  <c r="F1755"/>
  <c r="F1754"/>
  <c r="F1753"/>
  <c r="F1752"/>
  <c r="F1751"/>
  <c r="D1750"/>
  <c r="D1749"/>
  <c r="D1748"/>
  <c r="D1747"/>
  <c r="D1746"/>
  <c r="D1710"/>
  <c r="D1709"/>
  <c r="D1708"/>
  <c r="D1707"/>
  <c r="D1706"/>
  <c r="F1711"/>
  <c r="F1697" l="1"/>
  <c r="B1697"/>
  <c r="A1698"/>
  <c r="F1725"/>
  <c r="F1716"/>
  <c r="F1715"/>
  <c r="F1714"/>
  <c r="F1713"/>
  <c r="F1712"/>
  <c r="F1657"/>
  <c r="B1657"/>
  <c r="A1658"/>
  <c r="F1617"/>
  <c r="B1617"/>
  <c r="A1618"/>
  <c r="F1577"/>
  <c r="B1577"/>
  <c r="A1578"/>
  <c r="F1537"/>
  <c r="B1537"/>
  <c r="A1538"/>
  <c r="F1497"/>
  <c r="B1497"/>
  <c r="A1498"/>
  <c r="F1457"/>
  <c r="B1457"/>
  <c r="A1458"/>
  <c r="F1417"/>
  <c r="B1417"/>
  <c r="A1418"/>
  <c r="F1377"/>
  <c r="B1377"/>
  <c r="A1378"/>
  <c r="D1345" l="1"/>
  <c r="F1337"/>
  <c r="B1337"/>
  <c r="A1338"/>
  <c r="F1685"/>
  <c r="F1676"/>
  <c r="F1675"/>
  <c r="F1674"/>
  <c r="F1673"/>
  <c r="F1672"/>
  <c r="F1671"/>
  <c r="F1665"/>
  <c r="F1645"/>
  <c r="F1636"/>
  <c r="F1635"/>
  <c r="F1634"/>
  <c r="F1633"/>
  <c r="F1632"/>
  <c r="F1631"/>
  <c r="F1630"/>
  <c r="F1605"/>
  <c r="F1596"/>
  <c r="F1595"/>
  <c r="F1594"/>
  <c r="F1593"/>
  <c r="F1592"/>
  <c r="F1591"/>
  <c r="F1590"/>
  <c r="F1589"/>
  <c r="F1588"/>
  <c r="F1587"/>
  <c r="F1586"/>
  <c r="F1585"/>
  <c r="F1597" s="1"/>
  <c r="F1565"/>
  <c r="F1556"/>
  <c r="F1555"/>
  <c r="F1554"/>
  <c r="F1553"/>
  <c r="F1552"/>
  <c r="F1551"/>
  <c r="F1550"/>
  <c r="F1549"/>
  <c r="F1548"/>
  <c r="F1547"/>
  <c r="F1525"/>
  <c r="F1516"/>
  <c r="F1515"/>
  <c r="F1514"/>
  <c r="F1513"/>
  <c r="F1512"/>
  <c r="F1511"/>
  <c r="F1510"/>
  <c r="F1509"/>
  <c r="F1508"/>
  <c r="F1507"/>
  <c r="F1485"/>
  <c r="F1476"/>
  <c r="F1475"/>
  <c r="F1474"/>
  <c r="F1473"/>
  <c r="F1472"/>
  <c r="F1445"/>
  <c r="F1436"/>
  <c r="F1435"/>
  <c r="F1434"/>
  <c r="F1433"/>
  <c r="F1432"/>
  <c r="F1405"/>
  <c r="F1396"/>
  <c r="F1395"/>
  <c r="F1394"/>
  <c r="F1393"/>
  <c r="F1392"/>
  <c r="F1391"/>
  <c r="F1390"/>
  <c r="F1389"/>
  <c r="F1388"/>
  <c r="F1387"/>
  <c r="F1365"/>
  <c r="D1361"/>
  <c r="D1364" s="1"/>
  <c r="F1356"/>
  <c r="F1355"/>
  <c r="F1354"/>
  <c r="F1353"/>
  <c r="F1352"/>
  <c r="F1351"/>
  <c r="F1350"/>
  <c r="F1297"/>
  <c r="B1297"/>
  <c r="A1298"/>
  <c r="F1325"/>
  <c r="F1316"/>
  <c r="F1315"/>
  <c r="F1314"/>
  <c r="F1313"/>
  <c r="F1312"/>
  <c r="F1311"/>
  <c r="F1305"/>
  <c r="E1306" s="1"/>
  <c r="F1257"/>
  <c r="B1257"/>
  <c r="A1258"/>
  <c r="F1285"/>
  <c r="F1276"/>
  <c r="F1275"/>
  <c r="F1274"/>
  <c r="F1273"/>
  <c r="F1272"/>
  <c r="F1271"/>
  <c r="F1270"/>
  <c r="F1217"/>
  <c r="B1217"/>
  <c r="A1218"/>
  <c r="F1245"/>
  <c r="F1236"/>
  <c r="F1235"/>
  <c r="F1234"/>
  <c r="F1233"/>
  <c r="F1232"/>
  <c r="F1231"/>
  <c r="F1230"/>
  <c r="F1229"/>
  <c r="F1228"/>
  <c r="F1227"/>
  <c r="F1225"/>
  <c r="F1177"/>
  <c r="B1177"/>
  <c r="A1178"/>
  <c r="F1205"/>
  <c r="F1196"/>
  <c r="F1195"/>
  <c r="F1194"/>
  <c r="F1193"/>
  <c r="F1192"/>
  <c r="F1191"/>
  <c r="F1190"/>
  <c r="F1189"/>
  <c r="F1188"/>
  <c r="F1187"/>
  <c r="E1666" l="1"/>
  <c r="F1666" s="1"/>
  <c r="F1306"/>
  <c r="F1226"/>
  <c r="F1237" s="1"/>
  <c r="F1137" l="1"/>
  <c r="B1137"/>
  <c r="A1138"/>
  <c r="F1165"/>
  <c r="F1156"/>
  <c r="F1155"/>
  <c r="F1154"/>
  <c r="F1153"/>
  <c r="F1152"/>
  <c r="F1151"/>
  <c r="F1150"/>
  <c r="F1149"/>
  <c r="F1148"/>
  <c r="F1147"/>
  <c r="F1097"/>
  <c r="B1097"/>
  <c r="A1098"/>
  <c r="F1125"/>
  <c r="F1116"/>
  <c r="F1115"/>
  <c r="F1114"/>
  <c r="F1113"/>
  <c r="F1112"/>
  <c r="F1057" l="1"/>
  <c r="B1057"/>
  <c r="A1058"/>
  <c r="F1085"/>
  <c r="F1076"/>
  <c r="F1075"/>
  <c r="F1074"/>
  <c r="F1073"/>
  <c r="F1072"/>
  <c r="A1018"/>
  <c r="F1017"/>
  <c r="B1017"/>
  <c r="F1045"/>
  <c r="F1036"/>
  <c r="F1035"/>
  <c r="F1034"/>
  <c r="F1033"/>
  <c r="F1032"/>
  <c r="F1031"/>
  <c r="F1030"/>
  <c r="F1029"/>
  <c r="F1028"/>
  <c r="F1027"/>
  <c r="D1001"/>
  <c r="D1004" s="1"/>
  <c r="F977"/>
  <c r="B977"/>
  <c r="A978"/>
  <c r="F1005"/>
  <c r="F996"/>
  <c r="F995"/>
  <c r="F994"/>
  <c r="F993"/>
  <c r="F992"/>
  <c r="F991"/>
  <c r="F990"/>
  <c r="F937"/>
  <c r="B937"/>
  <c r="A938"/>
  <c r="F965"/>
  <c r="F956"/>
  <c r="F955"/>
  <c r="F954"/>
  <c r="F953"/>
  <c r="F952"/>
  <c r="F951"/>
  <c r="F950"/>
  <c r="F949"/>
  <c r="F948"/>
  <c r="F947"/>
  <c r="F945"/>
  <c r="F897"/>
  <c r="B897"/>
  <c r="A898"/>
  <c r="F857"/>
  <c r="A858"/>
  <c r="F817"/>
  <c r="B817"/>
  <c r="A818"/>
  <c r="F777"/>
  <c r="B777"/>
  <c r="A778"/>
  <c r="F737"/>
  <c r="B737"/>
  <c r="A738"/>
  <c r="F925"/>
  <c r="F916"/>
  <c r="F915"/>
  <c r="F914"/>
  <c r="F913"/>
  <c r="F912"/>
  <c r="F911"/>
  <c r="F910"/>
  <c r="F909"/>
  <c r="F908"/>
  <c r="F907"/>
  <c r="F905"/>
  <c r="F885"/>
  <c r="F876"/>
  <c r="F875"/>
  <c r="F874"/>
  <c r="F873"/>
  <c r="F872"/>
  <c r="F871"/>
  <c r="F870"/>
  <c r="F869"/>
  <c r="F868"/>
  <c r="F865"/>
  <c r="F845"/>
  <c r="F836"/>
  <c r="F835"/>
  <c r="F834"/>
  <c r="F833"/>
  <c r="F832"/>
  <c r="F831"/>
  <c r="F830"/>
  <c r="F829"/>
  <c r="F828"/>
  <c r="F805"/>
  <c r="F796"/>
  <c r="F795"/>
  <c r="F794"/>
  <c r="F793"/>
  <c r="F792"/>
  <c r="F791"/>
  <c r="F790"/>
  <c r="F785"/>
  <c r="F765"/>
  <c r="F756"/>
  <c r="F755"/>
  <c r="F754"/>
  <c r="F753"/>
  <c r="F752"/>
  <c r="F751"/>
  <c r="F750"/>
  <c r="F749"/>
  <c r="F748"/>
  <c r="F747"/>
  <c r="F746"/>
  <c r="F745"/>
  <c r="F757" s="1"/>
  <c r="F697"/>
  <c r="B697"/>
  <c r="A698"/>
  <c r="F725"/>
  <c r="F716"/>
  <c r="F715"/>
  <c r="F714"/>
  <c r="F713"/>
  <c r="F712"/>
  <c r="F711"/>
  <c r="F710"/>
  <c r="F709"/>
  <c r="F708"/>
  <c r="F707"/>
  <c r="D672"/>
  <c r="D670"/>
  <c r="D669"/>
  <c r="D668"/>
  <c r="D667"/>
  <c r="D665"/>
  <c r="D666"/>
  <c r="F657"/>
  <c r="B657"/>
  <c r="A658"/>
  <c r="F685"/>
  <c r="F676"/>
  <c r="F675"/>
  <c r="F674"/>
  <c r="F617"/>
  <c r="B617"/>
  <c r="A618"/>
  <c r="F645"/>
  <c r="F636"/>
  <c r="F635"/>
  <c r="F634"/>
  <c r="F633"/>
  <c r="F632"/>
  <c r="F631"/>
  <c r="F630"/>
  <c r="F627"/>
  <c r="F625"/>
  <c r="F577"/>
  <c r="B577"/>
  <c r="A578"/>
  <c r="F605"/>
  <c r="F596"/>
  <c r="F595"/>
  <c r="F594"/>
  <c r="F593"/>
  <c r="F592"/>
  <c r="F591"/>
  <c r="F590"/>
  <c r="F587"/>
  <c r="F585"/>
  <c r="A538"/>
  <c r="F537"/>
  <c r="B537"/>
  <c r="F565"/>
  <c r="F556"/>
  <c r="F555"/>
  <c r="F554"/>
  <c r="F545"/>
  <c r="D429"/>
  <c r="D431"/>
  <c r="F497"/>
  <c r="B497"/>
  <c r="A498"/>
  <c r="F525"/>
  <c r="F516"/>
  <c r="F515"/>
  <c r="F514"/>
  <c r="F513"/>
  <c r="F512"/>
  <c r="F511"/>
  <c r="F510"/>
  <c r="F508"/>
  <c r="F507"/>
  <c r="F506"/>
  <c r="F505"/>
  <c r="F457"/>
  <c r="B457"/>
  <c r="A458"/>
  <c r="F485"/>
  <c r="F476"/>
  <c r="F475"/>
  <c r="F474"/>
  <c r="F473"/>
  <c r="F472"/>
  <c r="F471"/>
  <c r="F470"/>
  <c r="F469"/>
  <c r="F468"/>
  <c r="F467"/>
  <c r="F465"/>
  <c r="F417"/>
  <c r="B417"/>
  <c r="A418"/>
  <c r="F445"/>
  <c r="F436"/>
  <c r="F435"/>
  <c r="F434"/>
  <c r="F426"/>
  <c r="F377"/>
  <c r="B377"/>
  <c r="A378"/>
  <c r="F405"/>
  <c r="F396"/>
  <c r="F395"/>
  <c r="F394"/>
  <c r="F393"/>
  <c r="F392"/>
  <c r="F385"/>
  <c r="F337"/>
  <c r="B337"/>
  <c r="A338"/>
  <c r="F365"/>
  <c r="F356"/>
  <c r="F355"/>
  <c r="F354"/>
  <c r="F353"/>
  <c r="F352"/>
  <c r="F345"/>
  <c r="F297"/>
  <c r="B297"/>
  <c r="A298"/>
  <c r="F325"/>
  <c r="F316"/>
  <c r="F315"/>
  <c r="F314"/>
  <c r="F313"/>
  <c r="F312"/>
  <c r="F305"/>
  <c r="F257"/>
  <c r="B257"/>
  <c r="A258"/>
  <c r="F285"/>
  <c r="F276"/>
  <c r="F275"/>
  <c r="F274"/>
  <c r="F273"/>
  <c r="F272"/>
  <c r="F265"/>
  <c r="F217"/>
  <c r="B217"/>
  <c r="A218"/>
  <c r="F245"/>
  <c r="F236"/>
  <c r="F235"/>
  <c r="F234"/>
  <c r="F233"/>
  <c r="F232"/>
  <c r="F225"/>
  <c r="F177"/>
  <c r="B177"/>
  <c r="A178"/>
  <c r="F205"/>
  <c r="F196"/>
  <c r="F195"/>
  <c r="F194"/>
  <c r="F193"/>
  <c r="F192"/>
  <c r="F185"/>
  <c r="S202" i="57"/>
  <c r="R202" s="1"/>
  <c r="S203"/>
  <c r="R203" s="1"/>
  <c r="E1945" i="51" s="1"/>
  <c r="F1945" s="1"/>
  <c r="E1946" s="1"/>
  <c r="F1946" s="1"/>
  <c r="S204" i="57"/>
  <c r="R204" s="1"/>
  <c r="E1905" i="51" s="1"/>
  <c r="F1905" s="1"/>
  <c r="E1906" s="1"/>
  <c r="F1906" s="1"/>
  <c r="S205" i="57"/>
  <c r="R205" s="1"/>
  <c r="S206"/>
  <c r="R206" s="1"/>
  <c r="F137" i="51"/>
  <c r="B137"/>
  <c r="A138"/>
  <c r="F145"/>
  <c r="E146" s="1"/>
  <c r="F146" s="1"/>
  <c r="F147"/>
  <c r="F150"/>
  <c r="F151"/>
  <c r="F152"/>
  <c r="F153"/>
  <c r="F154"/>
  <c r="F155"/>
  <c r="F156"/>
  <c r="D161"/>
  <c r="D162"/>
  <c r="D163"/>
  <c r="D164"/>
  <c r="F165"/>
  <c r="F97"/>
  <c r="B97"/>
  <c r="A98"/>
  <c r="F125"/>
  <c r="D124"/>
  <c r="D123"/>
  <c r="D122"/>
  <c r="D121"/>
  <c r="F116"/>
  <c r="F115"/>
  <c r="F114"/>
  <c r="F113"/>
  <c r="F112"/>
  <c r="F111"/>
  <c r="F110"/>
  <c r="F107"/>
  <c r="F105"/>
  <c r="D84"/>
  <c r="D83"/>
  <c r="D82"/>
  <c r="D81"/>
  <c r="F57"/>
  <c r="B57"/>
  <c r="A58"/>
  <c r="F85"/>
  <c r="F76"/>
  <c r="F75"/>
  <c r="F74"/>
  <c r="F73"/>
  <c r="F72"/>
  <c r="F71"/>
  <c r="F70"/>
  <c r="F67"/>
  <c r="F65"/>
  <c r="E66" s="1"/>
  <c r="F66" s="1"/>
  <c r="D41"/>
  <c r="S342" i="57"/>
  <c r="R342" s="1"/>
  <c r="E425" i="51" s="1"/>
  <c r="F425" s="1"/>
  <c r="K341" i="57"/>
  <c r="S341" s="1"/>
  <c r="S340"/>
  <c r="R340"/>
  <c r="S339"/>
  <c r="R339"/>
  <c r="S338"/>
  <c r="R338"/>
  <c r="S337"/>
  <c r="R337"/>
  <c r="S336"/>
  <c r="R336"/>
  <c r="S335"/>
  <c r="R335"/>
  <c r="S334"/>
  <c r="R334"/>
  <c r="S333"/>
  <c r="R333"/>
  <c r="S332"/>
  <c r="R332"/>
  <c r="S331"/>
  <c r="R331"/>
  <c r="S330"/>
  <c r="R330"/>
  <c r="S329"/>
  <c r="R329"/>
  <c r="S328"/>
  <c r="R328"/>
  <c r="K327"/>
  <c r="S327" s="1"/>
  <c r="K326"/>
  <c r="S326" s="1"/>
  <c r="K325"/>
  <c r="S325" s="1"/>
  <c r="S324"/>
  <c r="R324"/>
  <c r="S323"/>
  <c r="R323"/>
  <c r="S322"/>
  <c r="R322"/>
  <c r="S321"/>
  <c r="R321"/>
  <c r="S320"/>
  <c r="R320"/>
  <c r="S319"/>
  <c r="R319"/>
  <c r="S318"/>
  <c r="R318"/>
  <c r="S317"/>
  <c r="R317"/>
  <c r="S316"/>
  <c r="R316"/>
  <c r="S315"/>
  <c r="R315"/>
  <c r="S314"/>
  <c r="R314"/>
  <c r="S313"/>
  <c r="R313"/>
  <c r="S312"/>
  <c r="R312"/>
  <c r="S311"/>
  <c r="R311"/>
  <c r="S310"/>
  <c r="R310"/>
  <c r="S309"/>
  <c r="R309"/>
  <c r="K308"/>
  <c r="S308" s="1"/>
  <c r="K307"/>
  <c r="S307" s="1"/>
  <c r="K306"/>
  <c r="S306" s="1"/>
  <c r="K305"/>
  <c r="S305" s="1"/>
  <c r="K304"/>
  <c r="S304" s="1"/>
  <c r="K303"/>
  <c r="S303" s="1"/>
  <c r="K302"/>
  <c r="S302" s="1"/>
  <c r="K301"/>
  <c r="S301" s="1"/>
  <c r="K300"/>
  <c r="S300" s="1"/>
  <c r="K299"/>
  <c r="S299" s="1"/>
  <c r="K298"/>
  <c r="S298" s="1"/>
  <c r="K297"/>
  <c r="S297" s="1"/>
  <c r="K296"/>
  <c r="S296" s="1"/>
  <c r="S295"/>
  <c r="R295" s="1"/>
  <c r="S294"/>
  <c r="R294" s="1"/>
  <c r="S293"/>
  <c r="R293" s="1"/>
  <c r="S292"/>
  <c r="R292" s="1"/>
  <c r="S291"/>
  <c r="R291" s="1"/>
  <c r="S290"/>
  <c r="R290" s="1"/>
  <c r="K289"/>
  <c r="S289" s="1"/>
  <c r="K288"/>
  <c r="S288" s="1"/>
  <c r="K287"/>
  <c r="S287" s="1"/>
  <c r="S286"/>
  <c r="R286"/>
  <c r="S285"/>
  <c r="R285"/>
  <c r="S284"/>
  <c r="R284"/>
  <c r="S283"/>
  <c r="R283"/>
  <c r="S282"/>
  <c r="R282"/>
  <c r="S281"/>
  <c r="R281"/>
  <c r="S280"/>
  <c r="R280"/>
  <c r="S279"/>
  <c r="R279"/>
  <c r="S278"/>
  <c r="R278"/>
  <c r="S277"/>
  <c r="R277"/>
  <c r="S276"/>
  <c r="R276"/>
  <c r="S275"/>
  <c r="R275"/>
  <c r="S274"/>
  <c r="R274"/>
  <c r="S273"/>
  <c r="R273"/>
  <c r="S272"/>
  <c r="R272"/>
  <c r="S271"/>
  <c r="R271"/>
  <c r="S269"/>
  <c r="R269"/>
  <c r="S268"/>
  <c r="R268"/>
  <c r="S267"/>
  <c r="R267"/>
  <c r="S266"/>
  <c r="R266"/>
  <c r="S265"/>
  <c r="R265"/>
  <c r="S264"/>
  <c r="R264"/>
  <c r="S263"/>
  <c r="R263"/>
  <c r="S262"/>
  <c r="R262"/>
  <c r="S261"/>
  <c r="R261"/>
  <c r="S260"/>
  <c r="R260"/>
  <c r="S259"/>
  <c r="R259"/>
  <c r="S258"/>
  <c r="R258"/>
  <c r="S257"/>
  <c r="R257"/>
  <c r="S256"/>
  <c r="R256"/>
  <c r="S255"/>
  <c r="R255"/>
  <c r="S254"/>
  <c r="R254"/>
  <c r="S253"/>
  <c r="R253"/>
  <c r="S252"/>
  <c r="R252"/>
  <c r="S251"/>
  <c r="R251"/>
  <c r="S250"/>
  <c r="R250"/>
  <c r="S249"/>
  <c r="R249"/>
  <c r="S248"/>
  <c r="R248"/>
  <c r="S247"/>
  <c r="R247"/>
  <c r="S246"/>
  <c r="R246"/>
  <c r="S245"/>
  <c r="R245"/>
  <c r="S244"/>
  <c r="R244"/>
  <c r="S243"/>
  <c r="R243"/>
  <c r="S242"/>
  <c r="R242"/>
  <c r="S241"/>
  <c r="R241"/>
  <c r="S239"/>
  <c r="R239"/>
  <c r="S238"/>
  <c r="R238"/>
  <c r="S237"/>
  <c r="R237"/>
  <c r="S236"/>
  <c r="R236"/>
  <c r="S235"/>
  <c r="R235"/>
  <c r="S234"/>
  <c r="R234"/>
  <c r="E825" i="51" s="1"/>
  <c r="F825" s="1"/>
  <c r="S233" i="57"/>
  <c r="R233"/>
  <c r="S232"/>
  <c r="R232"/>
  <c r="S231"/>
  <c r="R231"/>
  <c r="S230"/>
  <c r="R230"/>
  <c r="S229"/>
  <c r="R229"/>
  <c r="K228"/>
  <c r="S228" s="1"/>
  <c r="S217"/>
  <c r="R217" s="1"/>
  <c r="S216"/>
  <c r="R216" s="1"/>
  <c r="S215"/>
  <c r="R215" s="1"/>
  <c r="S214"/>
  <c r="R214" s="1"/>
  <c r="S213"/>
  <c r="R213" s="1"/>
  <c r="S212"/>
  <c r="R212" s="1"/>
  <c r="S211"/>
  <c r="R211" s="1"/>
  <c r="S210"/>
  <c r="R210" s="1"/>
  <c r="S209"/>
  <c r="R209" s="1"/>
  <c r="S208"/>
  <c r="R208" s="1"/>
  <c r="S200"/>
  <c r="R200"/>
  <c r="S199"/>
  <c r="R199"/>
  <c r="S198"/>
  <c r="R198"/>
  <c r="S197"/>
  <c r="R197"/>
  <c r="S196"/>
  <c r="R196" s="1"/>
  <c r="S195"/>
  <c r="R195" s="1"/>
  <c r="S193"/>
  <c r="R193" s="1"/>
  <c r="S192"/>
  <c r="R192" s="1"/>
  <c r="S191"/>
  <c r="R191" s="1"/>
  <c r="S190"/>
  <c r="R190" s="1"/>
  <c r="K189"/>
  <c r="S189" s="1"/>
  <c r="S187"/>
  <c r="R187"/>
  <c r="S186"/>
  <c r="R186"/>
  <c r="S185"/>
  <c r="R185"/>
  <c r="S184"/>
  <c r="R184"/>
  <c r="S183"/>
  <c r="R183"/>
  <c r="S182"/>
  <c r="R182"/>
  <c r="S181"/>
  <c r="R181"/>
  <c r="S180"/>
  <c r="R180"/>
  <c r="E787" i="51" s="1"/>
  <c r="F787" s="1"/>
  <c r="S179" i="57"/>
  <c r="R179"/>
  <c r="E786" i="51" s="1"/>
  <c r="F786" s="1"/>
  <c r="S178" i="57"/>
  <c r="R178"/>
  <c r="S177"/>
  <c r="R177"/>
  <c r="S176"/>
  <c r="R176"/>
  <c r="S175"/>
  <c r="R175"/>
  <c r="S174"/>
  <c r="R174"/>
  <c r="S173"/>
  <c r="R173"/>
  <c r="S172"/>
  <c r="R172"/>
  <c r="S171"/>
  <c r="R171"/>
  <c r="S170"/>
  <c r="R170"/>
  <c r="E706" i="51" s="1"/>
  <c r="F706" s="1"/>
  <c r="S169" i="57"/>
  <c r="R169"/>
  <c r="S168"/>
  <c r="R168"/>
  <c r="S167"/>
  <c r="R167"/>
  <c r="S166"/>
  <c r="R166"/>
  <c r="S165"/>
  <c r="R165"/>
  <c r="S164"/>
  <c r="R164"/>
  <c r="S163"/>
  <c r="R163"/>
  <c r="S162"/>
  <c r="R162"/>
  <c r="S161"/>
  <c r="R161"/>
  <c r="K160"/>
  <c r="S160" s="1"/>
  <c r="K159"/>
  <c r="S159" s="1"/>
  <c r="K158"/>
  <c r="S158" s="1"/>
  <c r="K157"/>
  <c r="S157" s="1"/>
  <c r="K156"/>
  <c r="S156" s="1"/>
  <c r="S155"/>
  <c r="R155"/>
  <c r="S154"/>
  <c r="R154"/>
  <c r="S153"/>
  <c r="R153" s="1"/>
  <c r="S152"/>
  <c r="R152" s="1"/>
  <c r="S151"/>
  <c r="R151" s="1"/>
  <c r="S150"/>
  <c r="R150" s="1"/>
  <c r="S149"/>
  <c r="R149" s="1"/>
  <c r="S148"/>
  <c r="R148" s="1"/>
  <c r="S147"/>
  <c r="R147" s="1"/>
  <c r="S146"/>
  <c r="R146" s="1"/>
  <c r="S145"/>
  <c r="R145" s="1"/>
  <c r="S144"/>
  <c r="R144" s="1"/>
  <c r="S143"/>
  <c r="R143" s="1"/>
  <c r="S142"/>
  <c r="R142" s="1"/>
  <c r="S141"/>
  <c r="R141" s="1"/>
  <c r="S140"/>
  <c r="R140" s="1"/>
  <c r="S139"/>
  <c r="R139" s="1"/>
  <c r="S138"/>
  <c r="R138" s="1"/>
  <c r="S137"/>
  <c r="R137" s="1"/>
  <c r="S136"/>
  <c r="R136"/>
  <c r="S135"/>
  <c r="R135"/>
  <c r="K134"/>
  <c r="S134" s="1"/>
  <c r="S133"/>
  <c r="R133"/>
  <c r="K131"/>
  <c r="S131" s="1"/>
  <c r="K130"/>
  <c r="S130" s="1"/>
  <c r="S129"/>
  <c r="R129"/>
  <c r="K128"/>
  <c r="S128" s="1"/>
  <c r="S127"/>
  <c r="R127" s="1"/>
  <c r="S126"/>
  <c r="R126" s="1"/>
  <c r="S124"/>
  <c r="R124" s="1"/>
  <c r="S123"/>
  <c r="R123" s="1"/>
  <c r="S122"/>
  <c r="R122" s="1"/>
  <c r="E433" i="51" s="1"/>
  <c r="F433" s="1"/>
  <c r="S121" i="57"/>
  <c r="R121" s="1"/>
  <c r="S120"/>
  <c r="R120" s="1"/>
  <c r="S119"/>
  <c r="R119" s="1"/>
  <c r="S117"/>
  <c r="R117"/>
  <c r="S116"/>
  <c r="R116"/>
  <c r="S115"/>
  <c r="R115"/>
  <c r="S114"/>
  <c r="R114"/>
  <c r="S113"/>
  <c r="R113" s="1"/>
  <c r="S112"/>
  <c r="R112" s="1"/>
  <c r="S111"/>
  <c r="R111" s="1"/>
  <c r="S110"/>
  <c r="R110"/>
  <c r="S109"/>
  <c r="R109"/>
  <c r="K108"/>
  <c r="S108" s="1"/>
  <c r="K107"/>
  <c r="S107" s="1"/>
  <c r="S106"/>
  <c r="R106" s="1"/>
  <c r="K105"/>
  <c r="S105" s="1"/>
  <c r="S104"/>
  <c r="R104"/>
  <c r="S103"/>
  <c r="R103"/>
  <c r="S102"/>
  <c r="R102"/>
  <c r="S101"/>
  <c r="R101"/>
  <c r="S100"/>
  <c r="R100"/>
  <c r="S99"/>
  <c r="R99"/>
  <c r="S98"/>
  <c r="R98"/>
  <c r="S97"/>
  <c r="R97"/>
  <c r="E672" i="51" s="1"/>
  <c r="K96" i="57"/>
  <c r="S96" s="1"/>
  <c r="S95"/>
  <c r="R95" s="1"/>
  <c r="K94"/>
  <c r="S94" s="1"/>
  <c r="K93"/>
  <c r="S93" s="1"/>
  <c r="S92"/>
  <c r="R92" s="1"/>
  <c r="S91"/>
  <c r="R91" s="1"/>
  <c r="K90"/>
  <c r="S90" s="1"/>
  <c r="K89"/>
  <c r="S89" s="1"/>
  <c r="S88"/>
  <c r="R88"/>
  <c r="S87"/>
  <c r="R87"/>
  <c r="S86"/>
  <c r="R86"/>
  <c r="S85"/>
  <c r="R85" s="1"/>
  <c r="S84"/>
  <c r="R84" s="1"/>
  <c r="S83"/>
  <c r="R83" s="1"/>
  <c r="S82"/>
  <c r="R82" s="1"/>
  <c r="S81"/>
  <c r="R81" s="1"/>
  <c r="S80"/>
  <c r="R80" s="1"/>
  <c r="S79"/>
  <c r="R79"/>
  <c r="S78"/>
  <c r="R78"/>
  <c r="S77"/>
  <c r="R77"/>
  <c r="S76"/>
  <c r="R76"/>
  <c r="S75"/>
  <c r="R75" s="1"/>
  <c r="S74"/>
  <c r="R74" s="1"/>
  <c r="S73"/>
  <c r="R73" s="1"/>
  <c r="S72"/>
  <c r="R72" s="1"/>
  <c r="S71"/>
  <c r="R71" s="1"/>
  <c r="S70"/>
  <c r="R70" s="1"/>
  <c r="S69"/>
  <c r="R69" s="1"/>
  <c r="S68"/>
  <c r="R68" s="1"/>
  <c r="S67"/>
  <c r="R67"/>
  <c r="S66"/>
  <c r="R66"/>
  <c r="S65"/>
  <c r="R65"/>
  <c r="S64"/>
  <c r="R64"/>
  <c r="S63"/>
  <c r="R63" s="1"/>
  <c r="S62"/>
  <c r="R62" s="1"/>
  <c r="E669" i="51" s="1"/>
  <c r="F669" s="1"/>
  <c r="S61" i="57"/>
  <c r="R61" s="1"/>
  <c r="S60"/>
  <c r="R60" s="1"/>
  <c r="K59"/>
  <c r="S59" s="1"/>
  <c r="S58"/>
  <c r="R58"/>
  <c r="S57"/>
  <c r="R57"/>
  <c r="S56"/>
  <c r="R56"/>
  <c r="S55"/>
  <c r="R55"/>
  <c r="S54"/>
  <c r="R54"/>
  <c r="S53"/>
  <c r="R53"/>
  <c r="S52"/>
  <c r="R52"/>
  <c r="S51"/>
  <c r="R51"/>
  <c r="E670" i="51" s="1"/>
  <c r="F670" s="1"/>
  <c r="S50" i="57"/>
  <c r="R50"/>
  <c r="E432" i="51" s="1"/>
  <c r="F432" s="1"/>
  <c r="S49" i="57"/>
  <c r="R49"/>
  <c r="S48"/>
  <c r="R48"/>
  <c r="K47"/>
  <c r="S47" s="1"/>
  <c r="S46"/>
  <c r="R46" s="1"/>
  <c r="S45"/>
  <c r="R45" s="1"/>
  <c r="S44"/>
  <c r="R44" s="1"/>
  <c r="S43"/>
  <c r="R43" s="1"/>
  <c r="E1826" i="51" s="1"/>
  <c r="F1826" s="1"/>
  <c r="K42" i="57"/>
  <c r="S42" s="1"/>
  <c r="S41"/>
  <c r="R41"/>
  <c r="K40"/>
  <c r="S40" s="1"/>
  <c r="S39"/>
  <c r="R39" s="1"/>
  <c r="S38"/>
  <c r="R38" s="1"/>
  <c r="S37"/>
  <c r="R37" s="1"/>
  <c r="S36"/>
  <c r="R36" s="1"/>
  <c r="S35"/>
  <c r="R35" s="1"/>
  <c r="S34"/>
  <c r="R34" s="1"/>
  <c r="S33"/>
  <c r="R33" s="1"/>
  <c r="E1827" i="51" s="1"/>
  <c r="F1827" s="1"/>
  <c r="S32" i="57"/>
  <c r="R32" s="1"/>
  <c r="S31"/>
  <c r="R31"/>
  <c r="S30"/>
  <c r="R30"/>
  <c r="S29"/>
  <c r="R29" s="1"/>
  <c r="S28"/>
  <c r="R28" s="1"/>
  <c r="S27"/>
  <c r="R27" s="1"/>
  <c r="S26"/>
  <c r="R26" s="1"/>
  <c r="S25"/>
  <c r="R25" s="1"/>
  <c r="S24"/>
  <c r="R24" s="1"/>
  <c r="S23"/>
  <c r="R23" s="1"/>
  <c r="S22"/>
  <c r="R22" s="1"/>
  <c r="S21"/>
  <c r="R21" s="1"/>
  <c r="K20"/>
  <c r="S20" s="1"/>
  <c r="S19"/>
  <c r="R19"/>
  <c r="S18"/>
  <c r="R18"/>
  <c r="S17"/>
  <c r="R17"/>
  <c r="E390" i="51" s="1"/>
  <c r="F390" s="1"/>
  <c r="S16" i="57"/>
  <c r="R16"/>
  <c r="S15"/>
  <c r="R15"/>
  <c r="S14"/>
  <c r="R14"/>
  <c r="E667" i="51" s="1"/>
  <c r="F667" s="1"/>
  <c r="S13" i="57"/>
  <c r="R13"/>
  <c r="S12"/>
  <c r="R12"/>
  <c r="S11"/>
  <c r="R11"/>
  <c r="S10"/>
  <c r="R10"/>
  <c r="S9"/>
  <c r="R9"/>
  <c r="S8"/>
  <c r="R8"/>
  <c r="S7"/>
  <c r="R7"/>
  <c r="E387" i="51" s="1"/>
  <c r="F387" s="1"/>
  <c r="S6" i="57"/>
  <c r="R6"/>
  <c r="S5"/>
  <c r="R5"/>
  <c r="E665" i="51" s="1"/>
  <c r="F665" s="1"/>
  <c r="E2308" l="1"/>
  <c r="F2308" s="1"/>
  <c r="E2268"/>
  <c r="F2268" s="1"/>
  <c r="E2028"/>
  <c r="F2028" s="1"/>
  <c r="E2068"/>
  <c r="F2068" s="1"/>
  <c r="E1428"/>
  <c r="F1428" s="1"/>
  <c r="E1468"/>
  <c r="F1468" s="1"/>
  <c r="E1068"/>
  <c r="F1068" s="1"/>
  <c r="E1108"/>
  <c r="F1108" s="1"/>
  <c r="E668"/>
  <c r="F668" s="1"/>
  <c r="E430"/>
  <c r="F430" s="1"/>
  <c r="E191"/>
  <c r="F191" s="1"/>
  <c r="E391"/>
  <c r="F391" s="1"/>
  <c r="E351"/>
  <c r="F351" s="1"/>
  <c r="E311"/>
  <c r="F311" s="1"/>
  <c r="E271"/>
  <c r="F271" s="1"/>
  <c r="E231"/>
  <c r="F231" s="1"/>
  <c r="E1747"/>
  <c r="F1747" s="1"/>
  <c r="E1707"/>
  <c r="F1707" s="1"/>
  <c r="E1787"/>
  <c r="F1787" s="1"/>
  <c r="E1745"/>
  <c r="F1745" s="1"/>
  <c r="E1705"/>
  <c r="F1705" s="1"/>
  <c r="E1785"/>
  <c r="F1785" s="1"/>
  <c r="E2106"/>
  <c r="F2106" s="1"/>
  <c r="E2310"/>
  <c r="F2310" s="1"/>
  <c r="E1866"/>
  <c r="F1866" s="1"/>
  <c r="E2270"/>
  <c r="F2270" s="1"/>
  <c r="E2030"/>
  <c r="F2030" s="1"/>
  <c r="E2070"/>
  <c r="F2070" s="1"/>
  <c r="E1430"/>
  <c r="F1430" s="1"/>
  <c r="E1470"/>
  <c r="F1470" s="1"/>
  <c r="E1070"/>
  <c r="F1070" s="1"/>
  <c r="E1110"/>
  <c r="F1110" s="1"/>
  <c r="E546"/>
  <c r="F546" s="1"/>
  <c r="E673"/>
  <c r="F673" s="1"/>
  <c r="E26"/>
  <c r="E1629"/>
  <c r="F1629" s="1"/>
  <c r="E1269"/>
  <c r="F1269" s="1"/>
  <c r="E1545"/>
  <c r="F1545" s="1"/>
  <c r="E1185"/>
  <c r="F1185" s="1"/>
  <c r="E2309"/>
  <c r="F2309" s="1"/>
  <c r="E2069"/>
  <c r="F2069" s="1"/>
  <c r="E2269"/>
  <c r="F2269" s="1"/>
  <c r="E2029"/>
  <c r="F2029" s="1"/>
  <c r="E1469"/>
  <c r="F1469" s="1"/>
  <c r="E1429"/>
  <c r="F1429" s="1"/>
  <c r="E1109"/>
  <c r="F1109" s="1"/>
  <c r="E1069"/>
  <c r="F1069" s="1"/>
  <c r="E2311"/>
  <c r="F2311" s="1"/>
  <c r="E2031"/>
  <c r="F2031" s="1"/>
  <c r="E2271"/>
  <c r="F2271" s="1"/>
  <c r="E2071"/>
  <c r="F2071" s="1"/>
  <c r="E1471"/>
  <c r="F1471" s="1"/>
  <c r="E1431"/>
  <c r="F1431" s="1"/>
  <c r="E1111"/>
  <c r="F1111" s="1"/>
  <c r="E1071"/>
  <c r="F1071" s="1"/>
  <c r="E1267"/>
  <c r="F1267" s="1"/>
  <c r="E1627"/>
  <c r="F1627" s="1"/>
  <c r="E1505"/>
  <c r="F1505" s="1"/>
  <c r="E1145"/>
  <c r="F1145" s="1"/>
  <c r="E1268"/>
  <c r="F1268" s="1"/>
  <c r="E1628"/>
  <c r="F1628" s="1"/>
  <c r="E671"/>
  <c r="F671" s="1"/>
  <c r="F672"/>
  <c r="E188"/>
  <c r="F188" s="1"/>
  <c r="E190"/>
  <c r="F190" s="1"/>
  <c r="E227"/>
  <c r="F227" s="1"/>
  <c r="E229"/>
  <c r="F229" s="1"/>
  <c r="E267"/>
  <c r="F267" s="1"/>
  <c r="E269"/>
  <c r="F269" s="1"/>
  <c r="E307"/>
  <c r="F307" s="1"/>
  <c r="E309"/>
  <c r="F309" s="1"/>
  <c r="E347"/>
  <c r="F347" s="1"/>
  <c r="E349"/>
  <c r="F349" s="1"/>
  <c r="E389"/>
  <c r="F389" s="1"/>
  <c r="E427"/>
  <c r="F427" s="1"/>
  <c r="E429"/>
  <c r="F429" s="1"/>
  <c r="E547"/>
  <c r="F547" s="1"/>
  <c r="E2107"/>
  <c r="F2107" s="1"/>
  <c r="E2466"/>
  <c r="F2466" s="1"/>
  <c r="E2306"/>
  <c r="F2306" s="1"/>
  <c r="E2066"/>
  <c r="F2066" s="1"/>
  <c r="E1867"/>
  <c r="F1867" s="1"/>
  <c r="E2266"/>
  <c r="F2266" s="1"/>
  <c r="E2026"/>
  <c r="F2026" s="1"/>
  <c r="F2037" s="1"/>
  <c r="E1789"/>
  <c r="F1789" s="1"/>
  <c r="E1749"/>
  <c r="F1749" s="1"/>
  <c r="E1709"/>
  <c r="F1709" s="1"/>
  <c r="E1426"/>
  <c r="F1426" s="1"/>
  <c r="E1308"/>
  <c r="F1308" s="1"/>
  <c r="E1668"/>
  <c r="F1668" s="1"/>
  <c r="E1466"/>
  <c r="F1466" s="1"/>
  <c r="E1066"/>
  <c r="E1106"/>
  <c r="F1106" s="1"/>
  <c r="E2425"/>
  <c r="F2425" s="1"/>
  <c r="E2393"/>
  <c r="F2393" s="1"/>
  <c r="E2307"/>
  <c r="F2307" s="1"/>
  <c r="E2267"/>
  <c r="F2267" s="1"/>
  <c r="E2067"/>
  <c r="F2067" s="1"/>
  <c r="E2027"/>
  <c r="F2027" s="1"/>
  <c r="E1788"/>
  <c r="F1788" s="1"/>
  <c r="E1748"/>
  <c r="F1748" s="1"/>
  <c r="E1708"/>
  <c r="F1708" s="1"/>
  <c r="E1467"/>
  <c r="F1467" s="1"/>
  <c r="E1345"/>
  <c r="F1345" s="1"/>
  <c r="E1427"/>
  <c r="F1427" s="1"/>
  <c r="E1107"/>
  <c r="F1107" s="1"/>
  <c r="E1067"/>
  <c r="F1067" s="1"/>
  <c r="E2305"/>
  <c r="F2305" s="1"/>
  <c r="F2317" s="1"/>
  <c r="E2025"/>
  <c r="F2025" s="1"/>
  <c r="E2265"/>
  <c r="F2265" s="1"/>
  <c r="F2277" s="1"/>
  <c r="E2065"/>
  <c r="F2065" s="1"/>
  <c r="E1790"/>
  <c r="F1790" s="1"/>
  <c r="E1750"/>
  <c r="F1750" s="1"/>
  <c r="E1710"/>
  <c r="F1710" s="1"/>
  <c r="E1667"/>
  <c r="F1667" s="1"/>
  <c r="E1465"/>
  <c r="F1465" s="1"/>
  <c r="F1477" s="1"/>
  <c r="E1307"/>
  <c r="F1307" s="1"/>
  <c r="E1425"/>
  <c r="F1425" s="1"/>
  <c r="F1437" s="1"/>
  <c r="E1105"/>
  <c r="F1105" s="1"/>
  <c r="E1065"/>
  <c r="F1065" s="1"/>
  <c r="E1746"/>
  <c r="F1746" s="1"/>
  <c r="E1786"/>
  <c r="F1786" s="1"/>
  <c r="E1706"/>
  <c r="F1706" s="1"/>
  <c r="E1265"/>
  <c r="F1265" s="1"/>
  <c r="E1625"/>
  <c r="F1625" s="1"/>
  <c r="E2746"/>
  <c r="F2746" s="1"/>
  <c r="E2666"/>
  <c r="F2666" s="1"/>
  <c r="E2626"/>
  <c r="F2626" s="1"/>
  <c r="E2706"/>
  <c r="F2706" s="1"/>
  <c r="E788"/>
  <c r="F788" s="1"/>
  <c r="E789" s="1"/>
  <c r="F789" s="1"/>
  <c r="F797" s="1"/>
  <c r="E1025"/>
  <c r="F1025" s="1"/>
  <c r="E1385"/>
  <c r="F1385" s="1"/>
  <c r="E1386" s="1"/>
  <c r="F1386" s="1"/>
  <c r="F1397" s="1"/>
  <c r="E187"/>
  <c r="F187" s="1"/>
  <c r="E189"/>
  <c r="F189" s="1"/>
  <c r="E228"/>
  <c r="F228" s="1"/>
  <c r="E230"/>
  <c r="F230" s="1"/>
  <c r="E268"/>
  <c r="F268" s="1"/>
  <c r="E270"/>
  <c r="F270" s="1"/>
  <c r="E308"/>
  <c r="F308" s="1"/>
  <c r="E310"/>
  <c r="F310" s="1"/>
  <c r="E348"/>
  <c r="F348" s="1"/>
  <c r="E350"/>
  <c r="F350" s="1"/>
  <c r="E388"/>
  <c r="F388" s="1"/>
  <c r="E428"/>
  <c r="F428" s="1"/>
  <c r="E27"/>
  <c r="E666"/>
  <c r="F666" s="1"/>
  <c r="F677" s="1"/>
  <c r="E985"/>
  <c r="F985" s="1"/>
  <c r="E466"/>
  <c r="F466" s="1"/>
  <c r="F477" s="1"/>
  <c r="E867"/>
  <c r="F867" s="1"/>
  <c r="E866"/>
  <c r="F866" s="1"/>
  <c r="E946"/>
  <c r="F946" s="1"/>
  <c r="F957" s="1"/>
  <c r="E509"/>
  <c r="F509" s="1"/>
  <c r="F517" s="1"/>
  <c r="E826"/>
  <c r="F826" s="1"/>
  <c r="E906"/>
  <c r="F906" s="1"/>
  <c r="F917" s="1"/>
  <c r="F1066"/>
  <c r="F1077" s="1"/>
  <c r="E1026"/>
  <c r="F1026" s="1"/>
  <c r="F1037" s="1"/>
  <c r="E626"/>
  <c r="F626" s="1"/>
  <c r="E586"/>
  <c r="F586" s="1"/>
  <c r="E106"/>
  <c r="F106" s="1"/>
  <c r="R20" i="57"/>
  <c r="R40"/>
  <c r="R42"/>
  <c r="R47"/>
  <c r="R59"/>
  <c r="R89"/>
  <c r="R90"/>
  <c r="R93"/>
  <c r="R94"/>
  <c r="R96"/>
  <c r="R105"/>
  <c r="R107"/>
  <c r="R108"/>
  <c r="R128"/>
  <c r="R130"/>
  <c r="R131"/>
  <c r="R134"/>
  <c r="R156"/>
  <c r="R157"/>
  <c r="R158"/>
  <c r="R159"/>
  <c r="R160"/>
  <c r="R189"/>
  <c r="R228"/>
  <c r="R287"/>
  <c r="R288"/>
  <c r="R289"/>
  <c r="R296"/>
  <c r="R297"/>
  <c r="R298"/>
  <c r="R299"/>
  <c r="R300"/>
  <c r="R301"/>
  <c r="R302"/>
  <c r="R303"/>
  <c r="R304"/>
  <c r="R305"/>
  <c r="R306"/>
  <c r="R307"/>
  <c r="R308"/>
  <c r="R325"/>
  <c r="R326"/>
  <c r="R327"/>
  <c r="R341"/>
  <c r="E2473" i="51" l="1"/>
  <c r="F2473" s="1"/>
  <c r="E1669"/>
  <c r="F1669" s="1"/>
  <c r="E1309"/>
  <c r="F1309" s="1"/>
  <c r="E386"/>
  <c r="F386" s="1"/>
  <c r="F397" s="1"/>
  <c r="E346"/>
  <c r="F346" s="1"/>
  <c r="F357" s="1"/>
  <c r="E306"/>
  <c r="F306" s="1"/>
  <c r="F317" s="1"/>
  <c r="E266"/>
  <c r="F266" s="1"/>
  <c r="F277" s="1"/>
  <c r="E226"/>
  <c r="F226" s="1"/>
  <c r="F237" s="1"/>
  <c r="E431"/>
  <c r="F431" s="1"/>
  <c r="F437" s="1"/>
  <c r="E186"/>
  <c r="F186" s="1"/>
  <c r="F197" s="1"/>
  <c r="E1670"/>
  <c r="F1670" s="1"/>
  <c r="E1310"/>
  <c r="F1310" s="1"/>
  <c r="E1146"/>
  <c r="F1146" s="1"/>
  <c r="F1157" s="1"/>
  <c r="E1506"/>
  <c r="F1506" s="1"/>
  <c r="F1517" s="1"/>
  <c r="E1186"/>
  <c r="F1186" s="1"/>
  <c r="F1197" s="1"/>
  <c r="E1546"/>
  <c r="F1546" s="1"/>
  <c r="F1557" s="1"/>
  <c r="F877"/>
  <c r="F1117"/>
  <c r="F1317"/>
  <c r="F1677"/>
  <c r="F2077"/>
  <c r="F1717"/>
  <c r="E705"/>
  <c r="F705" s="1"/>
  <c r="F717" s="1"/>
  <c r="E1825"/>
  <c r="F1825" s="1"/>
  <c r="E1828" s="1"/>
  <c r="F1828" s="1"/>
  <c r="F1837" s="1"/>
  <c r="E1626"/>
  <c r="F1626" s="1"/>
  <c r="F1637" s="1"/>
  <c r="E1266"/>
  <c r="F1266" s="1"/>
  <c r="F1277"/>
  <c r="F1797"/>
  <c r="F1757"/>
  <c r="D27"/>
  <c r="L7" i="55"/>
  <c r="L15" l="1"/>
  <c r="L21"/>
  <c r="L16"/>
  <c r="L11"/>
  <c r="J2"/>
  <c r="H10" i="53" l="1"/>
  <c r="I8"/>
  <c r="H8"/>
  <c r="A10"/>
  <c r="A8"/>
  <c r="L9" i="54"/>
  <c r="M7"/>
  <c r="L7"/>
  <c r="A9"/>
  <c r="A7"/>
  <c r="C22" i="52"/>
  <c r="C21"/>
  <c r="F25" i="55"/>
  <c r="F18"/>
  <c r="L12"/>
  <c r="J23"/>
  <c r="F27" l="1"/>
  <c r="C20" i="52" s="1"/>
  <c r="F20" s="1"/>
  <c r="F21" s="1"/>
  <c r="F22" s="1"/>
  <c r="J7" i="55"/>
  <c r="J8"/>
  <c r="J9"/>
  <c r="J10"/>
  <c r="J11"/>
  <c r="J12"/>
  <c r="J13"/>
  <c r="J14"/>
  <c r="J15"/>
  <c r="J16"/>
  <c r="J17"/>
  <c r="J21"/>
  <c r="J22"/>
  <c r="F34" i="51" l="1"/>
  <c r="F35"/>
  <c r="F36"/>
  <c r="F45"/>
  <c r="F26"/>
  <c r="F27"/>
  <c r="F25"/>
  <c r="N48" i="54"/>
  <c r="H48"/>
  <c r="N47"/>
  <c r="H47"/>
  <c r="N46"/>
  <c r="H46"/>
  <c r="N43"/>
  <c r="P43" s="1"/>
  <c r="E43"/>
  <c r="J43" s="1"/>
  <c r="P42"/>
  <c r="E42"/>
  <c r="J42" s="1"/>
  <c r="P41"/>
  <c r="E41"/>
  <c r="J41" s="1"/>
  <c r="E40"/>
  <c r="J40" s="1"/>
  <c r="N39"/>
  <c r="P39" s="1"/>
  <c r="E39"/>
  <c r="J39" s="1"/>
  <c r="E38"/>
  <c r="J38" s="1"/>
  <c r="E37"/>
  <c r="J37" s="1"/>
  <c r="E36"/>
  <c r="J36" s="1"/>
  <c r="D35"/>
  <c r="E35" s="1"/>
  <c r="O34"/>
  <c r="E34"/>
  <c r="J34" s="1"/>
  <c r="P33"/>
  <c r="E33"/>
  <c r="J33" s="1"/>
  <c r="N32"/>
  <c r="N34" s="1"/>
  <c r="P34" s="1"/>
  <c r="E32"/>
  <c r="J32" s="1"/>
  <c r="P31"/>
  <c r="E31"/>
  <c r="J31" s="1"/>
  <c r="E30"/>
  <c r="J30" s="1"/>
  <c r="E29"/>
  <c r="J29" s="1"/>
  <c r="P28"/>
  <c r="E28"/>
  <c r="J28" s="1"/>
  <c r="E27"/>
  <c r="J27" s="1"/>
  <c r="O26"/>
  <c r="O27" s="1"/>
  <c r="O29" s="1"/>
  <c r="E26"/>
  <c r="J26" s="1"/>
  <c r="O25"/>
  <c r="E25"/>
  <c r="J25" s="1"/>
  <c r="E24"/>
  <c r="J24" s="1"/>
  <c r="E23"/>
  <c r="J23" s="1"/>
  <c r="E22"/>
  <c r="J22" s="1"/>
  <c r="E21"/>
  <c r="J21" s="1"/>
  <c r="E20"/>
  <c r="J20" s="1"/>
  <c r="N19"/>
  <c r="E19"/>
  <c r="J19" s="1"/>
  <c r="G33" i="53"/>
  <c r="C33"/>
  <c r="G32"/>
  <c r="C32"/>
  <c r="G31"/>
  <c r="C31"/>
  <c r="C23"/>
  <c r="D23" s="1"/>
  <c r="C22"/>
  <c r="D22" s="1"/>
  <c r="C21"/>
  <c r="D21" s="1"/>
  <c r="C20"/>
  <c r="D20" s="1"/>
  <c r="N29" i="54" l="1"/>
  <c r="N37" s="1"/>
  <c r="P37" s="1"/>
  <c r="N36"/>
  <c r="F23" i="52"/>
  <c r="N30" i="54"/>
  <c r="P29"/>
  <c r="O35"/>
  <c r="O30"/>
  <c r="Q34"/>
  <c r="R34" s="1"/>
  <c r="J35"/>
  <c r="F35"/>
  <c r="I35" s="1"/>
  <c r="K35" s="1"/>
  <c r="Q39"/>
  <c r="R39" s="1"/>
  <c r="Q43"/>
  <c r="R43" s="1"/>
  <c r="P36"/>
  <c r="F19"/>
  <c r="I19" s="1"/>
  <c r="K19" s="1"/>
  <c r="P19"/>
  <c r="F20"/>
  <c r="I20"/>
  <c r="K20" s="1"/>
  <c r="N20"/>
  <c r="F21"/>
  <c r="I21" s="1"/>
  <c r="K21" s="1"/>
  <c r="F22"/>
  <c r="I22" s="1"/>
  <c r="K22" s="1"/>
  <c r="N22"/>
  <c r="P22" s="1"/>
  <c r="F23"/>
  <c r="I23"/>
  <c r="K23" s="1"/>
  <c r="F24"/>
  <c r="I24"/>
  <c r="K24" s="1"/>
  <c r="F25"/>
  <c r="I25"/>
  <c r="K25" s="1"/>
  <c r="F26"/>
  <c r="I26"/>
  <c r="K26" s="1"/>
  <c r="F27"/>
  <c r="I27"/>
  <c r="K27" s="1"/>
  <c r="F28"/>
  <c r="I28"/>
  <c r="K28" s="1"/>
  <c r="Q28"/>
  <c r="R28" s="1"/>
  <c r="F29"/>
  <c r="I29" s="1"/>
  <c r="K29" s="1"/>
  <c r="F30"/>
  <c r="I30" s="1"/>
  <c r="K30" s="1"/>
  <c r="F31"/>
  <c r="I31" s="1"/>
  <c r="K31" s="1"/>
  <c r="Q31"/>
  <c r="R31" s="1"/>
  <c r="F32"/>
  <c r="I32"/>
  <c r="K32" s="1"/>
  <c r="P32"/>
  <c r="F33"/>
  <c r="I33" s="1"/>
  <c r="K33" s="1"/>
  <c r="Q33"/>
  <c r="R33" s="1"/>
  <c r="F34"/>
  <c r="I34"/>
  <c r="K34" s="1"/>
  <c r="F36"/>
  <c r="I36"/>
  <c r="K36" s="1"/>
  <c r="F37"/>
  <c r="I37"/>
  <c r="K37" s="1"/>
  <c r="F38"/>
  <c r="I38"/>
  <c r="K38" s="1"/>
  <c r="F39"/>
  <c r="I39"/>
  <c r="K39" s="1"/>
  <c r="F40"/>
  <c r="I40"/>
  <c r="K40" s="1"/>
  <c r="F41"/>
  <c r="I41"/>
  <c r="K41" s="1"/>
  <c r="Q41"/>
  <c r="R41" s="1"/>
  <c r="F42"/>
  <c r="I42" s="1"/>
  <c r="K42" s="1"/>
  <c r="Q42"/>
  <c r="R42" s="1"/>
  <c r="F43"/>
  <c r="I43"/>
  <c r="K43" s="1"/>
  <c r="F20" i="53"/>
  <c r="E20"/>
  <c r="G20" s="1"/>
  <c r="J20" s="1"/>
  <c r="F21"/>
  <c r="E21"/>
  <c r="G21" s="1"/>
  <c r="J21" s="1"/>
  <c r="F22"/>
  <c r="E22"/>
  <c r="G22" s="1"/>
  <c r="J22" s="1"/>
  <c r="F23"/>
  <c r="E23"/>
  <c r="G23" s="1"/>
  <c r="J23" s="1"/>
  <c r="E2921" i="51" l="1"/>
  <c r="F2921" s="1"/>
  <c r="E2881"/>
  <c r="F2881" s="1"/>
  <c r="E2841"/>
  <c r="F2841" s="1"/>
  <c r="E2801"/>
  <c r="F2801" s="1"/>
  <c r="E1881"/>
  <c r="F1881" s="1"/>
  <c r="E2761"/>
  <c r="F2761" s="1"/>
  <c r="E2681"/>
  <c r="F2681" s="1"/>
  <c r="E2481"/>
  <c r="F2481" s="1"/>
  <c r="E2401"/>
  <c r="F2401" s="1"/>
  <c r="E2361"/>
  <c r="F2361" s="1"/>
  <c r="E2321"/>
  <c r="F2321" s="1"/>
  <c r="E2241"/>
  <c r="F2241" s="1"/>
  <c r="E2161"/>
  <c r="F2161" s="1"/>
  <c r="E2961"/>
  <c r="F2961" s="1"/>
  <c r="E2121"/>
  <c r="F2121" s="1"/>
  <c r="E2721"/>
  <c r="F2721" s="1"/>
  <c r="E2641"/>
  <c r="F2641" s="1"/>
  <c r="E2601"/>
  <c r="F2601" s="1"/>
  <c r="E2561"/>
  <c r="F2561" s="1"/>
  <c r="E2521"/>
  <c r="F2521" s="1"/>
  <c r="E2441"/>
  <c r="F2441" s="1"/>
  <c r="E2281"/>
  <c r="F2281" s="1"/>
  <c r="E2201"/>
  <c r="F2201" s="1"/>
  <c r="E2041"/>
  <c r="F2041" s="1"/>
  <c r="E2001"/>
  <c r="F2001" s="1"/>
  <c r="E1961"/>
  <c r="F1961" s="1"/>
  <c r="E1921"/>
  <c r="F1921" s="1"/>
  <c r="E2081"/>
  <c r="F2081" s="1"/>
  <c r="E1841"/>
  <c r="F1841" s="1"/>
  <c r="E1801"/>
  <c r="F1801" s="1"/>
  <c r="E1761"/>
  <c r="F1761" s="1"/>
  <c r="E1721"/>
  <c r="F1721" s="1"/>
  <c r="E1681"/>
  <c r="F1681" s="1"/>
  <c r="E1641"/>
  <c r="F1641" s="1"/>
  <c r="E1561"/>
  <c r="F1561" s="1"/>
  <c r="E1521"/>
  <c r="F1521" s="1"/>
  <c r="E1481"/>
  <c r="F1481" s="1"/>
  <c r="E1321"/>
  <c r="F1321" s="1"/>
  <c r="E1201"/>
  <c r="F1201" s="1"/>
  <c r="E1401"/>
  <c r="F1401" s="1"/>
  <c r="E1361"/>
  <c r="F1361" s="1"/>
  <c r="E1601"/>
  <c r="F1601" s="1"/>
  <c r="E1441"/>
  <c r="F1441" s="1"/>
  <c r="E1281"/>
  <c r="F1281" s="1"/>
  <c r="E1241"/>
  <c r="F1241" s="1"/>
  <c r="E1121"/>
  <c r="F1121" s="1"/>
  <c r="E1161"/>
  <c r="F1161" s="1"/>
  <c r="E1081"/>
  <c r="F1081" s="1"/>
  <c r="E1041"/>
  <c r="F1041" s="1"/>
  <c r="E841"/>
  <c r="F841" s="1"/>
  <c r="E801"/>
  <c r="F801" s="1"/>
  <c r="E761"/>
  <c r="F761" s="1"/>
  <c r="E721"/>
  <c r="F721" s="1"/>
  <c r="E681"/>
  <c r="F681" s="1"/>
  <c r="E641"/>
  <c r="F641" s="1"/>
  <c r="E601"/>
  <c r="F601" s="1"/>
  <c r="E561"/>
  <c r="F561" s="1"/>
  <c r="E481"/>
  <c r="F481" s="1"/>
  <c r="E201"/>
  <c r="F201" s="1"/>
  <c r="E121"/>
  <c r="F121" s="1"/>
  <c r="E81"/>
  <c r="F81" s="1"/>
  <c r="E1001"/>
  <c r="F1001" s="1"/>
  <c r="E961"/>
  <c r="F961" s="1"/>
  <c r="E921"/>
  <c r="F921" s="1"/>
  <c r="E881"/>
  <c r="F881" s="1"/>
  <c r="E521"/>
  <c r="F521" s="1"/>
  <c r="E441"/>
  <c r="F441" s="1"/>
  <c r="E401"/>
  <c r="F401" s="1"/>
  <c r="E361"/>
  <c r="F361" s="1"/>
  <c r="E321"/>
  <c r="F321" s="1"/>
  <c r="E281"/>
  <c r="F281" s="1"/>
  <c r="E241"/>
  <c r="F241" s="1"/>
  <c r="E161"/>
  <c r="F161" s="1"/>
  <c r="E41"/>
  <c r="E2964"/>
  <c r="F2964" s="1"/>
  <c r="E2124"/>
  <c r="F2124" s="1"/>
  <c r="E2724"/>
  <c r="F2724" s="1"/>
  <c r="E2644"/>
  <c r="F2644" s="1"/>
  <c r="E2604"/>
  <c r="F2604" s="1"/>
  <c r="E2564"/>
  <c r="F2564" s="1"/>
  <c r="E2524"/>
  <c r="F2524" s="1"/>
  <c r="E2444"/>
  <c r="F2444" s="1"/>
  <c r="E2284"/>
  <c r="F2284" s="1"/>
  <c r="E2244"/>
  <c r="F2244" s="1"/>
  <c r="E2164"/>
  <c r="F2164" s="1"/>
  <c r="E2924"/>
  <c r="F2924" s="1"/>
  <c r="E2884"/>
  <c r="F2884" s="1"/>
  <c r="E2844"/>
  <c r="F2844" s="1"/>
  <c r="E2804"/>
  <c r="F2804" s="1"/>
  <c r="E1884"/>
  <c r="F1884" s="1"/>
  <c r="E2764"/>
  <c r="F2764" s="1"/>
  <c r="E2684"/>
  <c r="F2684" s="1"/>
  <c r="E2484"/>
  <c r="F2484" s="1"/>
  <c r="E2404"/>
  <c r="F2404" s="1"/>
  <c r="E2364"/>
  <c r="F2364" s="1"/>
  <c r="E2324"/>
  <c r="F2324" s="1"/>
  <c r="E2204"/>
  <c r="F2204" s="1"/>
  <c r="E2084"/>
  <c r="F2084" s="1"/>
  <c r="E2044"/>
  <c r="F2044" s="1"/>
  <c r="E2004"/>
  <c r="F2004" s="1"/>
  <c r="E1964"/>
  <c r="F1964" s="1"/>
  <c r="E1924"/>
  <c r="F1924" s="1"/>
  <c r="E1804"/>
  <c r="F1804" s="1"/>
  <c r="E1844"/>
  <c r="F1844" s="1"/>
  <c r="E1764"/>
  <c r="F1764" s="1"/>
  <c r="E1724"/>
  <c r="F1724" s="1"/>
  <c r="E1604"/>
  <c r="F1604" s="1"/>
  <c r="E1444"/>
  <c r="F1444" s="1"/>
  <c r="E1364"/>
  <c r="F1364" s="1"/>
  <c r="E1284"/>
  <c r="F1284" s="1"/>
  <c r="E1244"/>
  <c r="F1244" s="1"/>
  <c r="E1404"/>
  <c r="F1404" s="1"/>
  <c r="E1324"/>
  <c r="F1324" s="1"/>
  <c r="E1204"/>
  <c r="F1204" s="1"/>
  <c r="E1684"/>
  <c r="F1684" s="1"/>
  <c r="E1644"/>
  <c r="F1644" s="1"/>
  <c r="E1564"/>
  <c r="F1564" s="1"/>
  <c r="E1524"/>
  <c r="F1524" s="1"/>
  <c r="E1484"/>
  <c r="F1484" s="1"/>
  <c r="E1164"/>
  <c r="F1164" s="1"/>
  <c r="E1124"/>
  <c r="F1124" s="1"/>
  <c r="E1084"/>
  <c r="F1084" s="1"/>
  <c r="E1004"/>
  <c r="F1004" s="1"/>
  <c r="E964"/>
  <c r="F964" s="1"/>
  <c r="E924"/>
  <c r="F924" s="1"/>
  <c r="E884"/>
  <c r="F884" s="1"/>
  <c r="E604"/>
  <c r="F604" s="1"/>
  <c r="E564"/>
  <c r="F564" s="1"/>
  <c r="E524"/>
  <c r="F524" s="1"/>
  <c r="E444"/>
  <c r="F444" s="1"/>
  <c r="E404"/>
  <c r="F404" s="1"/>
  <c r="E364"/>
  <c r="F364" s="1"/>
  <c r="E324"/>
  <c r="F324" s="1"/>
  <c r="E284"/>
  <c r="F284" s="1"/>
  <c r="E244"/>
  <c r="F244" s="1"/>
  <c r="E204"/>
  <c r="F204" s="1"/>
  <c r="E164"/>
  <c r="F164" s="1"/>
  <c r="E124"/>
  <c r="F124" s="1"/>
  <c r="E84"/>
  <c r="F84" s="1"/>
  <c r="E1044"/>
  <c r="F1044" s="1"/>
  <c r="E844"/>
  <c r="F844" s="1"/>
  <c r="E804"/>
  <c r="F804" s="1"/>
  <c r="E764"/>
  <c r="F764" s="1"/>
  <c r="E724"/>
  <c r="F724" s="1"/>
  <c r="E684"/>
  <c r="F684" s="1"/>
  <c r="E644"/>
  <c r="F644" s="1"/>
  <c r="E484"/>
  <c r="F484" s="1"/>
  <c r="E44"/>
  <c r="E2923"/>
  <c r="F2923" s="1"/>
  <c r="E2883"/>
  <c r="F2883" s="1"/>
  <c r="E2843"/>
  <c r="F2843" s="1"/>
  <c r="E2803"/>
  <c r="F2803" s="1"/>
  <c r="E1883"/>
  <c r="F1883" s="1"/>
  <c r="E2763"/>
  <c r="F2763" s="1"/>
  <c r="E2683"/>
  <c r="F2683" s="1"/>
  <c r="E2483"/>
  <c r="F2483" s="1"/>
  <c r="E2403"/>
  <c r="F2403" s="1"/>
  <c r="E2363"/>
  <c r="F2363" s="1"/>
  <c r="E2323"/>
  <c r="F2323" s="1"/>
  <c r="E2283"/>
  <c r="F2283" s="1"/>
  <c r="E2163"/>
  <c r="F2163" s="1"/>
  <c r="E2043"/>
  <c r="F2043" s="1"/>
  <c r="E2963"/>
  <c r="F2963" s="1"/>
  <c r="E2123"/>
  <c r="F2123" s="1"/>
  <c r="E2723"/>
  <c r="F2723" s="1"/>
  <c r="E2643"/>
  <c r="F2643" s="1"/>
  <c r="E2603"/>
  <c r="F2603" s="1"/>
  <c r="E2563"/>
  <c r="F2563" s="1"/>
  <c r="E2523"/>
  <c r="F2523" s="1"/>
  <c r="E2443"/>
  <c r="F2443" s="1"/>
  <c r="E2243"/>
  <c r="F2243" s="1"/>
  <c r="E2203"/>
  <c r="F2203" s="1"/>
  <c r="E2083"/>
  <c r="F2083" s="1"/>
  <c r="E2003"/>
  <c r="F2003" s="1"/>
  <c r="E1963"/>
  <c r="F1963" s="1"/>
  <c r="E1923"/>
  <c r="F1923" s="1"/>
  <c r="E1843"/>
  <c r="F1843" s="1"/>
  <c r="E1803"/>
  <c r="F1803" s="1"/>
  <c r="E1763"/>
  <c r="F1763" s="1"/>
  <c r="E1723"/>
  <c r="F1723" s="1"/>
  <c r="E1683"/>
  <c r="F1683" s="1"/>
  <c r="E1643"/>
  <c r="F1643" s="1"/>
  <c r="E1563"/>
  <c r="F1563" s="1"/>
  <c r="E1523"/>
  <c r="F1523" s="1"/>
  <c r="E1483"/>
  <c r="F1483" s="1"/>
  <c r="E1323"/>
  <c r="F1323" s="1"/>
  <c r="E1203"/>
  <c r="F1203" s="1"/>
  <c r="E1443"/>
  <c r="F1443" s="1"/>
  <c r="E1243"/>
  <c r="F1243" s="1"/>
  <c r="E1603"/>
  <c r="F1603" s="1"/>
  <c r="E1403"/>
  <c r="F1403" s="1"/>
  <c r="E1363"/>
  <c r="F1363" s="1"/>
  <c r="E1283"/>
  <c r="F1283" s="1"/>
  <c r="E1123"/>
  <c r="F1123" s="1"/>
  <c r="E1163"/>
  <c r="F1163" s="1"/>
  <c r="E1083"/>
  <c r="F1083" s="1"/>
  <c r="E1043"/>
  <c r="F1043" s="1"/>
  <c r="E843"/>
  <c r="F843" s="1"/>
  <c r="E803"/>
  <c r="F803" s="1"/>
  <c r="E763"/>
  <c r="F763" s="1"/>
  <c r="E723"/>
  <c r="F723" s="1"/>
  <c r="E683"/>
  <c r="F683" s="1"/>
  <c r="E643"/>
  <c r="F643" s="1"/>
  <c r="E603"/>
  <c r="F603" s="1"/>
  <c r="E563"/>
  <c r="F563" s="1"/>
  <c r="E483"/>
  <c r="F483" s="1"/>
  <c r="E203"/>
  <c r="F203" s="1"/>
  <c r="E123"/>
  <c r="F123" s="1"/>
  <c r="E83"/>
  <c r="F83" s="1"/>
  <c r="E1003"/>
  <c r="F1003" s="1"/>
  <c r="E963"/>
  <c r="F963" s="1"/>
  <c r="E923"/>
  <c r="F923" s="1"/>
  <c r="E883"/>
  <c r="F883" s="1"/>
  <c r="E523"/>
  <c r="F523" s="1"/>
  <c r="E443"/>
  <c r="F443" s="1"/>
  <c r="E403"/>
  <c r="F403" s="1"/>
  <c r="E363"/>
  <c r="F363" s="1"/>
  <c r="E323"/>
  <c r="F323" s="1"/>
  <c r="E283"/>
  <c r="F283" s="1"/>
  <c r="E243"/>
  <c r="F243" s="1"/>
  <c r="E163"/>
  <c r="F163" s="1"/>
  <c r="E43"/>
  <c r="E2962"/>
  <c r="F2962" s="1"/>
  <c r="E2122"/>
  <c r="F2122" s="1"/>
  <c r="E2722"/>
  <c r="F2722" s="1"/>
  <c r="E2642"/>
  <c r="F2642" s="1"/>
  <c r="E2602"/>
  <c r="F2602" s="1"/>
  <c r="E2562"/>
  <c r="F2562" s="1"/>
  <c r="E2522"/>
  <c r="F2522" s="1"/>
  <c r="E2442"/>
  <c r="F2442" s="1"/>
  <c r="E2162"/>
  <c r="F2162" s="1"/>
  <c r="E2922"/>
  <c r="F2922" s="1"/>
  <c r="E2882"/>
  <c r="F2882" s="1"/>
  <c r="E2842"/>
  <c r="F2842" s="1"/>
  <c r="E2802"/>
  <c r="F2802" s="1"/>
  <c r="E1882"/>
  <c r="F1882" s="1"/>
  <c r="E2762"/>
  <c r="F2762" s="1"/>
  <c r="E2682"/>
  <c r="F2682" s="1"/>
  <c r="E2482"/>
  <c r="F2482" s="1"/>
  <c r="E2402"/>
  <c r="F2402" s="1"/>
  <c r="E2362"/>
  <c r="F2362" s="1"/>
  <c r="E2322"/>
  <c r="F2322" s="1"/>
  <c r="E2282"/>
  <c r="F2282" s="1"/>
  <c r="E2242"/>
  <c r="F2242" s="1"/>
  <c r="E2202"/>
  <c r="F2202" s="1"/>
  <c r="E2002"/>
  <c r="F2002" s="1"/>
  <c r="E1962"/>
  <c r="F1962" s="1"/>
  <c r="E1922"/>
  <c r="F1922" s="1"/>
  <c r="E2082"/>
  <c r="F2082" s="1"/>
  <c r="E2042"/>
  <c r="F2042" s="1"/>
  <c r="E1802"/>
  <c r="F1802" s="1"/>
  <c r="E1842"/>
  <c r="F1842" s="1"/>
  <c r="E1762"/>
  <c r="F1762" s="1"/>
  <c r="E1722"/>
  <c r="F1722" s="1"/>
  <c r="E1602"/>
  <c r="F1602" s="1"/>
  <c r="E1442"/>
  <c r="F1442" s="1"/>
  <c r="E1402"/>
  <c r="F1402" s="1"/>
  <c r="E1362"/>
  <c r="F1362" s="1"/>
  <c r="E1282"/>
  <c r="F1282" s="1"/>
  <c r="E1242"/>
  <c r="F1242" s="1"/>
  <c r="E1322"/>
  <c r="F1322" s="1"/>
  <c r="E1682"/>
  <c r="F1682" s="1"/>
  <c r="E1642"/>
  <c r="F1642" s="1"/>
  <c r="E1562"/>
  <c r="F1562" s="1"/>
  <c r="E1522"/>
  <c r="F1522" s="1"/>
  <c r="E1482"/>
  <c r="F1482" s="1"/>
  <c r="E1202"/>
  <c r="F1202" s="1"/>
  <c r="E1162"/>
  <c r="F1162" s="1"/>
  <c r="E1122"/>
  <c r="F1122" s="1"/>
  <c r="E1002"/>
  <c r="F1002" s="1"/>
  <c r="E962"/>
  <c r="F962" s="1"/>
  <c r="E922"/>
  <c r="F922" s="1"/>
  <c r="E882"/>
  <c r="F882" s="1"/>
  <c r="E602"/>
  <c r="F602" s="1"/>
  <c r="E522"/>
  <c r="F522" s="1"/>
  <c r="E442"/>
  <c r="F442" s="1"/>
  <c r="E402"/>
  <c r="F402" s="1"/>
  <c r="E362"/>
  <c r="F362" s="1"/>
  <c r="E322"/>
  <c r="F322" s="1"/>
  <c r="E282"/>
  <c r="F282" s="1"/>
  <c r="E242"/>
  <c r="F242" s="1"/>
  <c r="E202"/>
  <c r="F202" s="1"/>
  <c r="E162"/>
  <c r="F162" s="1"/>
  <c r="E122"/>
  <c r="F122" s="1"/>
  <c r="E1082"/>
  <c r="F1082" s="1"/>
  <c r="E1042"/>
  <c r="F1042" s="1"/>
  <c r="E842"/>
  <c r="F842" s="1"/>
  <c r="E802"/>
  <c r="F802" s="1"/>
  <c r="E762"/>
  <c r="F762" s="1"/>
  <c r="E722"/>
  <c r="F722" s="1"/>
  <c r="E682"/>
  <c r="F682" s="1"/>
  <c r="E642"/>
  <c r="F642" s="1"/>
  <c r="E562"/>
  <c r="F562" s="1"/>
  <c r="E482"/>
  <c r="F482" s="1"/>
  <c r="E82"/>
  <c r="F82" s="1"/>
  <c r="E42"/>
  <c r="L35" i="54"/>
  <c r="L43"/>
  <c r="S43" s="1"/>
  <c r="L42"/>
  <c r="S42" s="1"/>
  <c r="L41"/>
  <c r="S41" s="1"/>
  <c r="L40"/>
  <c r="L39"/>
  <c r="S39" s="1"/>
  <c r="L38"/>
  <c r="L37"/>
  <c r="L36"/>
  <c r="L34"/>
  <c r="S34" s="1"/>
  <c r="L33"/>
  <c r="S33" s="1"/>
  <c r="Q32"/>
  <c r="R32" s="1"/>
  <c r="L32"/>
  <c r="S32" s="1"/>
  <c r="L31"/>
  <c r="S31" s="1"/>
  <c r="L30"/>
  <c r="L29"/>
  <c r="L28"/>
  <c r="S28" s="1"/>
  <c r="L27"/>
  <c r="L26"/>
  <c r="L25"/>
  <c r="L24"/>
  <c r="L23"/>
  <c r="Q22"/>
  <c r="R22" s="1"/>
  <c r="L22"/>
  <c r="L21"/>
  <c r="N21"/>
  <c r="P20"/>
  <c r="L20"/>
  <c r="Q19"/>
  <c r="R19" s="1"/>
  <c r="L19"/>
  <c r="Q36"/>
  <c r="R36" s="1"/>
  <c r="Q29"/>
  <c r="R29" s="1"/>
  <c r="N38"/>
  <c r="P30"/>
  <c r="Q37"/>
  <c r="R37" s="1"/>
  <c r="E2350" i="51" l="1"/>
  <c r="F2350" s="1"/>
  <c r="E2430"/>
  <c r="F2430" s="1"/>
  <c r="E2390"/>
  <c r="F2390" s="1"/>
  <c r="E2113"/>
  <c r="F2113" s="1"/>
  <c r="E2750"/>
  <c r="F2750" s="1"/>
  <c r="E2670"/>
  <c r="F2670" s="1"/>
  <c r="E2630"/>
  <c r="F2630" s="1"/>
  <c r="E2472"/>
  <c r="F2472" s="1"/>
  <c r="E1988"/>
  <c r="F1988" s="1"/>
  <c r="E1873"/>
  <c r="F1873" s="1"/>
  <c r="E2710"/>
  <c r="F2710" s="1"/>
  <c r="E2228"/>
  <c r="F2228" s="1"/>
  <c r="E553"/>
  <c r="F553" s="1"/>
  <c r="E33"/>
  <c r="F33" s="1"/>
  <c r="F1006"/>
  <c r="F166"/>
  <c r="F286"/>
  <c r="F288" s="1"/>
  <c r="F289" s="1"/>
  <c r="E27" i="50" s="1"/>
  <c r="F27" s="1"/>
  <c r="F366" i="51"/>
  <c r="F368" s="1"/>
  <c r="F369" s="1"/>
  <c r="E29" i="50" s="1"/>
  <c r="F29" s="1"/>
  <c r="F446" i="51"/>
  <c r="F448" s="1"/>
  <c r="F449" s="1"/>
  <c r="E33" i="50" s="1"/>
  <c r="F33" s="1"/>
  <c r="F886" i="51"/>
  <c r="F888" s="1"/>
  <c r="F889" s="1"/>
  <c r="E46" i="50" s="1"/>
  <c r="F46" s="1"/>
  <c r="F966" i="51"/>
  <c r="F968" s="1"/>
  <c r="F969" s="1"/>
  <c r="E48" i="50" s="1"/>
  <c r="F48" s="1"/>
  <c r="F86" i="51"/>
  <c r="F206"/>
  <c r="F208" s="1"/>
  <c r="F209" s="1"/>
  <c r="E25" i="50" s="1"/>
  <c r="F25" s="1"/>
  <c r="F566" i="51"/>
  <c r="F646"/>
  <c r="F726"/>
  <c r="F728" s="1"/>
  <c r="F729" s="1"/>
  <c r="E42" i="50" s="1"/>
  <c r="F42" s="1"/>
  <c r="F806" i="51"/>
  <c r="F808" s="1"/>
  <c r="F809" s="1"/>
  <c r="E44" i="50" s="1"/>
  <c r="F44" s="1"/>
  <c r="F1046" i="51"/>
  <c r="F1048" s="1"/>
  <c r="F1049" s="1"/>
  <c r="E51" i="50" s="1"/>
  <c r="F51" s="1"/>
  <c r="F1166" i="51"/>
  <c r="F1168" s="1"/>
  <c r="F1169" s="1"/>
  <c r="E54" i="50" s="1"/>
  <c r="F54" s="1"/>
  <c r="F1246" i="51"/>
  <c r="F1248" s="1"/>
  <c r="F1249" s="1"/>
  <c r="E56" i="50" s="1"/>
  <c r="F56" s="1"/>
  <c r="F1446" i="51"/>
  <c r="F1448" s="1"/>
  <c r="F1449" s="1"/>
  <c r="E62" i="50" s="1"/>
  <c r="F62" s="1"/>
  <c r="F1366" i="51"/>
  <c r="F1206"/>
  <c r="F1208" s="1"/>
  <c r="F1209" s="1"/>
  <c r="E55" i="50" s="1"/>
  <c r="F55" s="1"/>
  <c r="F1486" i="51"/>
  <c r="F1488" s="1"/>
  <c r="F1489" s="1"/>
  <c r="E63" i="50" s="1"/>
  <c r="F63" s="1"/>
  <c r="F1566" i="51"/>
  <c r="F1568" s="1"/>
  <c r="F1569" s="1"/>
  <c r="E65" i="50" s="1"/>
  <c r="F65" s="1"/>
  <c r="F1686" i="51"/>
  <c r="F1688" s="1"/>
  <c r="F1689" s="1"/>
  <c r="E68" i="50" s="1"/>
  <c r="F68" s="1"/>
  <c r="F1766" i="51"/>
  <c r="F1768" s="1"/>
  <c r="F1769" s="1"/>
  <c r="E71" i="50" s="1"/>
  <c r="F1846" i="51"/>
  <c r="F1848" s="1"/>
  <c r="F1849" s="1"/>
  <c r="E73" i="50" s="1"/>
  <c r="F73" s="1"/>
  <c r="F1926" i="51"/>
  <c r="F2006"/>
  <c r="F2206"/>
  <c r="F2566"/>
  <c r="F2646"/>
  <c r="F2126"/>
  <c r="F2166"/>
  <c r="F2326"/>
  <c r="F2328" s="1"/>
  <c r="F2329" s="1"/>
  <c r="E90" i="50" s="1"/>
  <c r="F90" s="1"/>
  <c r="F2406" i="51"/>
  <c r="F2686"/>
  <c r="F1886"/>
  <c r="F2846"/>
  <c r="F2926"/>
  <c r="E2709"/>
  <c r="F2709" s="1"/>
  <c r="E2749"/>
  <c r="F2749" s="1"/>
  <c r="E2669"/>
  <c r="F2669" s="1"/>
  <c r="E2629"/>
  <c r="F2629" s="1"/>
  <c r="S19" i="54"/>
  <c r="S22"/>
  <c r="F2446" i="51"/>
  <c r="F246"/>
  <c r="F248" s="1"/>
  <c r="F249" s="1"/>
  <c r="E26" i="50" s="1"/>
  <c r="F26" s="1"/>
  <c r="F326" i="51"/>
  <c r="F328" s="1"/>
  <c r="F329" s="1"/>
  <c r="E28" i="50" s="1"/>
  <c r="F28" s="1"/>
  <c r="F406" i="51"/>
  <c r="F408" s="1"/>
  <c r="F409" s="1"/>
  <c r="E31" i="50" s="1"/>
  <c r="F31" s="1"/>
  <c r="G30" s="1"/>
  <c r="C17" i="56" s="1"/>
  <c r="F526" i="51"/>
  <c r="F528" s="1"/>
  <c r="F529" s="1"/>
  <c r="E35" i="50" s="1"/>
  <c r="F35" s="1"/>
  <c r="G32" s="1"/>
  <c r="C18" i="56" s="1"/>
  <c r="F926" i="51"/>
  <c r="F928" s="1"/>
  <c r="F929" s="1"/>
  <c r="E47" i="50" s="1"/>
  <c r="F47" s="1"/>
  <c r="F126" i="51"/>
  <c r="F486"/>
  <c r="F488" s="1"/>
  <c r="F489" s="1"/>
  <c r="E34" i="50" s="1"/>
  <c r="F34" s="1"/>
  <c r="F606" i="51"/>
  <c r="F686"/>
  <c r="F688" s="1"/>
  <c r="F689" s="1"/>
  <c r="E41" i="50" s="1"/>
  <c r="F41" s="1"/>
  <c r="F766" i="51"/>
  <c r="F768" s="1"/>
  <c r="F769" s="1"/>
  <c r="E43" i="50" s="1"/>
  <c r="F43" s="1"/>
  <c r="F846" i="51"/>
  <c r="F1086"/>
  <c r="F1088" s="1"/>
  <c r="F1089" s="1"/>
  <c r="E52" i="50" s="1"/>
  <c r="F52" s="1"/>
  <c r="F1126" i="51"/>
  <c r="F1128" s="1"/>
  <c r="F1129" s="1"/>
  <c r="E53" i="50" s="1"/>
  <c r="F53" s="1"/>
  <c r="F1286" i="51"/>
  <c r="F1288" s="1"/>
  <c r="F1289" s="1"/>
  <c r="E57" i="50" s="1"/>
  <c r="F57" s="1"/>
  <c r="F1606" i="51"/>
  <c r="F1608" s="1"/>
  <c r="F1609" s="1"/>
  <c r="E66" i="50" s="1"/>
  <c r="F66" s="1"/>
  <c r="F1406" i="51"/>
  <c r="F1408" s="1"/>
  <c r="F1409" s="1"/>
  <c r="E61" i="50" s="1"/>
  <c r="F61" s="1"/>
  <c r="F1326" i="51"/>
  <c r="F1328" s="1"/>
  <c r="F1329" s="1"/>
  <c r="E58" i="50" s="1"/>
  <c r="F58" s="1"/>
  <c r="F1526" i="51"/>
  <c r="F1528" s="1"/>
  <c r="F1529" s="1"/>
  <c r="E64" i="50" s="1"/>
  <c r="F64" s="1"/>
  <c r="F1646" i="51"/>
  <c r="F1648" s="1"/>
  <c r="F1649" s="1"/>
  <c r="E67" i="50" s="1"/>
  <c r="F67" s="1"/>
  <c r="F1726" i="51"/>
  <c r="F1728" s="1"/>
  <c r="F1729" s="1"/>
  <c r="E70" i="50" s="1"/>
  <c r="F70" s="1"/>
  <c r="F1806" i="51"/>
  <c r="F1808" s="1"/>
  <c r="F1809" s="1"/>
  <c r="E72" i="50" s="1"/>
  <c r="F2086" i="51"/>
  <c r="F2088" s="1"/>
  <c r="F2089" s="1"/>
  <c r="E82" i="50" s="1"/>
  <c r="F82" s="1"/>
  <c r="F1966" i="51"/>
  <c r="F2046"/>
  <c r="F2048" s="1"/>
  <c r="F2049" s="1"/>
  <c r="E81" i="50" s="1"/>
  <c r="F81" s="1"/>
  <c r="F2286" i="51"/>
  <c r="F2288" s="1"/>
  <c r="F2289" s="1"/>
  <c r="E89" i="50" s="1"/>
  <c r="F89" s="1"/>
  <c r="F2526" i="51"/>
  <c r="F2606"/>
  <c r="F2726"/>
  <c r="F2966"/>
  <c r="F2246"/>
  <c r="F2366"/>
  <c r="F2486"/>
  <c r="F2766"/>
  <c r="F2806"/>
  <c r="F2886"/>
  <c r="S29" i="54"/>
  <c r="S36"/>
  <c r="S37"/>
  <c r="Q30"/>
  <c r="R30" s="1"/>
  <c r="S30" s="1"/>
  <c r="N40"/>
  <c r="P40" s="1"/>
  <c r="P38"/>
  <c r="Q20"/>
  <c r="R20" s="1"/>
  <c r="S20" s="1"/>
  <c r="N24"/>
  <c r="N23"/>
  <c r="P23" s="1"/>
  <c r="P21"/>
  <c r="E2109" i="51" l="1"/>
  <c r="F2109" s="1"/>
  <c r="E2468"/>
  <c r="F2468" s="1"/>
  <c r="E2227"/>
  <c r="F2227" s="1"/>
  <c r="E2188"/>
  <c r="F2188" s="1"/>
  <c r="E1948"/>
  <c r="F1948" s="1"/>
  <c r="E1869"/>
  <c r="F1869" s="1"/>
  <c r="E2427"/>
  <c r="F2427" s="1"/>
  <c r="E2387"/>
  <c r="F2387" s="1"/>
  <c r="E2347"/>
  <c r="F2347" s="1"/>
  <c r="E2148"/>
  <c r="F2148" s="1"/>
  <c r="E1987"/>
  <c r="F1987" s="1"/>
  <c r="E1908"/>
  <c r="F1908" s="1"/>
  <c r="E1346"/>
  <c r="F1346" s="1"/>
  <c r="E29"/>
  <c r="F29" s="1"/>
  <c r="E108"/>
  <c r="F108" s="1"/>
  <c r="E986"/>
  <c r="F986" s="1"/>
  <c r="E628"/>
  <c r="F628" s="1"/>
  <c r="E588"/>
  <c r="F588" s="1"/>
  <c r="E549"/>
  <c r="F549" s="1"/>
  <c r="E148"/>
  <c r="F148" s="1"/>
  <c r="E68"/>
  <c r="F68" s="1"/>
  <c r="E2432"/>
  <c r="F2432" s="1"/>
  <c r="E2392"/>
  <c r="F2392" s="1"/>
  <c r="E2352"/>
  <c r="F2352" s="1"/>
  <c r="E1870"/>
  <c r="F1870" s="1"/>
  <c r="E2110"/>
  <c r="F2110" s="1"/>
  <c r="E2469"/>
  <c r="F2469" s="1"/>
  <c r="G24" i="50"/>
  <c r="C16" i="56" s="1"/>
  <c r="E2111" i="51"/>
  <c r="F2111" s="1"/>
  <c r="E2470"/>
  <c r="F2470" s="1"/>
  <c r="E2428"/>
  <c r="F2428" s="1"/>
  <c r="E2348"/>
  <c r="F2348" s="1"/>
  <c r="E1871"/>
  <c r="F1871" s="1"/>
  <c r="E2388"/>
  <c r="F2388" s="1"/>
  <c r="E1347"/>
  <c r="F1347" s="1"/>
  <c r="E987"/>
  <c r="F987" s="1"/>
  <c r="E551"/>
  <c r="F551" s="1"/>
  <c r="E31"/>
  <c r="F31" s="1"/>
  <c r="E2229"/>
  <c r="F2229" s="1"/>
  <c r="F2237" s="1"/>
  <c r="F2248" s="1"/>
  <c r="F2249" s="1"/>
  <c r="E88" i="50" s="1"/>
  <c r="F88" s="1"/>
  <c r="G87" s="1"/>
  <c r="C28" i="56" s="1"/>
  <c r="E2189" i="51"/>
  <c r="F2189" s="1"/>
  <c r="F2197" s="1"/>
  <c r="F2208" s="1"/>
  <c r="F2209" s="1"/>
  <c r="E86" i="50" s="1"/>
  <c r="F86" s="1"/>
  <c r="E2149" i="51"/>
  <c r="F2149" s="1"/>
  <c r="F2157" s="1"/>
  <c r="F2168" s="1"/>
  <c r="F2169" s="1"/>
  <c r="E85" i="50" s="1"/>
  <c r="F85" s="1"/>
  <c r="E1989" i="51"/>
  <c r="F1989" s="1"/>
  <c r="F1997" s="1"/>
  <c r="F2008" s="1"/>
  <c r="F2009" s="1"/>
  <c r="E80" i="50" s="1"/>
  <c r="F80" s="1"/>
  <c r="G79" s="1"/>
  <c r="C26" i="56" s="1"/>
  <c r="E1949" i="51"/>
  <c r="F1949" s="1"/>
  <c r="F1957" s="1"/>
  <c r="F1968" s="1"/>
  <c r="F1969" s="1"/>
  <c r="E78" i="50" s="1"/>
  <c r="F78" s="1"/>
  <c r="E1909" i="51"/>
  <c r="F1909" s="1"/>
  <c r="F1917" s="1"/>
  <c r="F1928" s="1"/>
  <c r="F1929" s="1"/>
  <c r="E77" i="50" s="1"/>
  <c r="F77" s="1"/>
  <c r="E629" i="51"/>
  <c r="F629" s="1"/>
  <c r="F637" s="1"/>
  <c r="F648" s="1"/>
  <c r="F649" s="1"/>
  <c r="E39" i="50" s="1"/>
  <c r="E589" i="51"/>
  <c r="F589" s="1"/>
  <c r="F597" s="1"/>
  <c r="F608" s="1"/>
  <c r="F609" s="1"/>
  <c r="E38" i="50" s="1"/>
  <c r="E550" i="51"/>
  <c r="F550" s="1"/>
  <c r="E30"/>
  <c r="F30" s="1"/>
  <c r="E149"/>
  <c r="F149" s="1"/>
  <c r="F157" s="1"/>
  <c r="F168" s="1"/>
  <c r="F169" s="1"/>
  <c r="E23" i="50" s="1"/>
  <c r="F23" s="1"/>
  <c r="E109" i="51"/>
  <c r="F109" s="1"/>
  <c r="F117" s="1"/>
  <c r="F128" s="1"/>
  <c r="F129" s="1"/>
  <c r="E22" i="50" s="1"/>
  <c r="F22" s="1"/>
  <c r="E69" i="51"/>
  <c r="F69" s="1"/>
  <c r="F77" s="1"/>
  <c r="F88" s="1"/>
  <c r="F89" s="1"/>
  <c r="Q21" i="54"/>
  <c r="R21" s="1"/>
  <c r="S21" s="1"/>
  <c r="Q23"/>
  <c r="R23" s="1"/>
  <c r="S23" s="1"/>
  <c r="N25"/>
  <c r="P24"/>
  <c r="Q38"/>
  <c r="R38" s="1"/>
  <c r="S38" s="1"/>
  <c r="Q40"/>
  <c r="R40" s="1"/>
  <c r="S40" s="1"/>
  <c r="E1868" i="51" l="1"/>
  <c r="F1868" s="1"/>
  <c r="E2346"/>
  <c r="F2346" s="1"/>
  <c r="E2108"/>
  <c r="F2108" s="1"/>
  <c r="E2467"/>
  <c r="F2467" s="1"/>
  <c r="E2386"/>
  <c r="F2386" s="1"/>
  <c r="E548"/>
  <c r="F548" s="1"/>
  <c r="E28"/>
  <c r="F28" s="1"/>
  <c r="E2748"/>
  <c r="F2748" s="1"/>
  <c r="E2668"/>
  <c r="F2668" s="1"/>
  <c r="E2628"/>
  <c r="F2628" s="1"/>
  <c r="E2708"/>
  <c r="F2708" s="1"/>
  <c r="E21" i="50"/>
  <c r="F21" s="1"/>
  <c r="Q24" i="54"/>
  <c r="R24" s="1"/>
  <c r="S24" s="1"/>
  <c r="N26"/>
  <c r="P25"/>
  <c r="F2117" i="51" l="1"/>
  <c r="F2128" s="1"/>
  <c r="F2129" s="1"/>
  <c r="E84" i="50" s="1"/>
  <c r="F84" s="1"/>
  <c r="G83" s="1"/>
  <c r="C27" i="56" s="1"/>
  <c r="E1872" i="51"/>
  <c r="F1872" s="1"/>
  <c r="F1877" s="1"/>
  <c r="F1888" s="1"/>
  <c r="F1889" s="1"/>
  <c r="E76" i="50" s="1"/>
  <c r="F76" s="1"/>
  <c r="G75" s="1"/>
  <c r="E2112" i="51"/>
  <c r="F2112" s="1"/>
  <c r="E2471"/>
  <c r="F2471" s="1"/>
  <c r="E2429"/>
  <c r="F2429" s="1"/>
  <c r="E2389"/>
  <c r="F2389" s="1"/>
  <c r="E2349"/>
  <c r="F2349" s="1"/>
  <c r="E1348"/>
  <c r="F1348" s="1"/>
  <c r="E32"/>
  <c r="F32" s="1"/>
  <c r="E988"/>
  <c r="F988" s="1"/>
  <c r="E552"/>
  <c r="F552" s="1"/>
  <c r="F557" s="1"/>
  <c r="F568" s="1"/>
  <c r="F569" s="1"/>
  <c r="E37" i="50" s="1"/>
  <c r="F2477" i="51"/>
  <c r="F2488" s="1"/>
  <c r="F2489" s="1"/>
  <c r="E99" i="50" s="1"/>
  <c r="F99" s="1"/>
  <c r="G98" s="1"/>
  <c r="C33" i="56" s="1"/>
  <c r="Q25" i="54"/>
  <c r="R25" s="1"/>
  <c r="S25" s="1"/>
  <c r="N27"/>
  <c r="P26"/>
  <c r="H74" i="50" l="1"/>
  <c r="C25" i="56"/>
  <c r="Q26" i="54"/>
  <c r="R26" s="1"/>
  <c r="S26" s="1"/>
  <c r="N35"/>
  <c r="P35" s="1"/>
  <c r="P27"/>
  <c r="E2351" i="51" l="1"/>
  <c r="F2351" s="1"/>
  <c r="F2357" s="1"/>
  <c r="F2368" s="1"/>
  <c r="F2369" s="1"/>
  <c r="E93" i="50" s="1"/>
  <c r="F93" s="1"/>
  <c r="E2431" i="51"/>
  <c r="F2431" s="1"/>
  <c r="F2437" s="1"/>
  <c r="F2448" s="1"/>
  <c r="F2449" s="1"/>
  <c r="E96" i="50" s="1"/>
  <c r="F96" s="1"/>
  <c r="G95" s="1"/>
  <c r="C31" i="56" s="1"/>
  <c r="E2391" i="51"/>
  <c r="F2391" s="1"/>
  <c r="F2397" s="1"/>
  <c r="F2408" s="1"/>
  <c r="F2409" s="1"/>
  <c r="E94" i="50" s="1"/>
  <c r="F94" s="1"/>
  <c r="Q27" i="54"/>
  <c r="R27" s="1"/>
  <c r="S27" s="1"/>
  <c r="Q35"/>
  <c r="R35" s="1"/>
  <c r="S35" s="1"/>
  <c r="G92" i="50" l="1"/>
  <c r="E2787" i="51"/>
  <c r="F2787" s="1"/>
  <c r="F2797" s="1"/>
  <c r="F2808" s="1"/>
  <c r="F2809" s="1"/>
  <c r="E115" i="50" s="1"/>
  <c r="F115" s="1"/>
  <c r="E2547" i="51"/>
  <c r="F2547" s="1"/>
  <c r="F2557" s="1"/>
  <c r="F2568" s="1"/>
  <c r="F2569" s="1"/>
  <c r="E102" i="50" s="1"/>
  <c r="E2507" i="51"/>
  <c r="F2507" s="1"/>
  <c r="F2517" s="1"/>
  <c r="F2528" s="1"/>
  <c r="F2529" s="1"/>
  <c r="E101" i="50" s="1"/>
  <c r="E2711" i="51"/>
  <c r="F2711" s="1"/>
  <c r="F2717" s="1"/>
  <c r="F2728" s="1"/>
  <c r="F2729" s="1"/>
  <c r="E112" i="50" s="1"/>
  <c r="F112" s="1"/>
  <c r="E2587" i="51"/>
  <c r="F2587" s="1"/>
  <c r="F2597" s="1"/>
  <c r="F2608" s="1"/>
  <c r="F2609" s="1"/>
  <c r="E106" i="50" s="1"/>
  <c r="F106" s="1"/>
  <c r="G105" s="1"/>
  <c r="E2948" i="51"/>
  <c r="F2948" s="1"/>
  <c r="F2957" s="1"/>
  <c r="F2968" s="1"/>
  <c r="F2969" s="1"/>
  <c r="E120" i="50" s="1"/>
  <c r="F120" s="1"/>
  <c r="G119" s="1"/>
  <c r="C40" i="56" s="1"/>
  <c r="E2907" i="51"/>
  <c r="F2907" s="1"/>
  <c r="F2917" s="1"/>
  <c r="F2928" s="1"/>
  <c r="F2929" s="1"/>
  <c r="E118" i="50" s="1"/>
  <c r="F118" s="1"/>
  <c r="E2867" i="51"/>
  <c r="F2867" s="1"/>
  <c r="F2877" s="1"/>
  <c r="F2888" s="1"/>
  <c r="F2889" s="1"/>
  <c r="E117" i="50" s="1"/>
  <c r="F117" s="1"/>
  <c r="E2827" i="51"/>
  <c r="F2827" s="1"/>
  <c r="F2837" s="1"/>
  <c r="F2848" s="1"/>
  <c r="F2849" s="1"/>
  <c r="E116" i="50" s="1"/>
  <c r="F116" s="1"/>
  <c r="E2751" i="51"/>
  <c r="F2751" s="1"/>
  <c r="F2757" s="1"/>
  <c r="F2768" s="1"/>
  <c r="F2769" s="1"/>
  <c r="E113" i="50" s="1"/>
  <c r="F113" s="1"/>
  <c r="E2671" i="51"/>
  <c r="F2671" s="1"/>
  <c r="F2677" s="1"/>
  <c r="F2688" s="1"/>
  <c r="F2689" s="1"/>
  <c r="E111" i="50" s="1"/>
  <c r="F111" s="1"/>
  <c r="G109" s="1"/>
  <c r="E2631" i="51"/>
  <c r="F2631" s="1"/>
  <c r="F2637" s="1"/>
  <c r="F2648" s="1"/>
  <c r="F2649" s="1"/>
  <c r="E110" i="50" s="1"/>
  <c r="F110" s="1"/>
  <c r="E827" i="51"/>
  <c r="F827" s="1"/>
  <c r="F837" s="1"/>
  <c r="F848" s="1"/>
  <c r="F849" s="1"/>
  <c r="E45" i="50" s="1"/>
  <c r="F45" s="1"/>
  <c r="G40" s="1"/>
  <c r="C20" i="56" s="1"/>
  <c r="E1349" i="51"/>
  <c r="F1349" s="1"/>
  <c r="F1357" s="1"/>
  <c r="F1368" s="1"/>
  <c r="F1369" s="1"/>
  <c r="E60" i="50" s="1"/>
  <c r="F60" s="1"/>
  <c r="G59" s="1"/>
  <c r="C22" i="56" s="1"/>
  <c r="E989" i="51"/>
  <c r="F989" s="1"/>
  <c r="F997" s="1"/>
  <c r="F1008" s="1"/>
  <c r="F1009" s="1"/>
  <c r="E50" i="50" s="1"/>
  <c r="F50" s="1"/>
  <c r="G49" s="1"/>
  <c r="C21" i="56" s="1"/>
  <c r="A18" i="51"/>
  <c r="B17"/>
  <c r="F17"/>
  <c r="F44"/>
  <c r="F43"/>
  <c r="F42"/>
  <c r="F37"/>
  <c r="D39" i="50"/>
  <c r="D38"/>
  <c r="D102"/>
  <c r="D101"/>
  <c r="D72"/>
  <c r="D71"/>
  <c r="D37"/>
  <c r="C38" i="56" l="1"/>
  <c r="H108" i="50"/>
  <c r="H91"/>
  <c r="C30" i="56"/>
  <c r="C36"/>
  <c r="H104" i="50"/>
  <c r="G114"/>
  <c r="C39" i="56" s="1"/>
  <c r="F71" i="50"/>
  <c r="F72"/>
  <c r="D25" i="58"/>
  <c r="F101" i="50"/>
  <c r="D26" i="58"/>
  <c r="F102" i="50"/>
  <c r="F37"/>
  <c r="F38"/>
  <c r="F39"/>
  <c r="F41" i="51"/>
  <c r="F46" s="1"/>
  <c r="F48" s="1"/>
  <c r="F49" s="1"/>
  <c r="E20" i="50" s="1"/>
  <c r="F20" s="1"/>
  <c r="G19" s="1"/>
  <c r="C15" i="56" s="1"/>
  <c r="G100" i="50" l="1"/>
  <c r="G69"/>
  <c r="C23" i="56" s="1"/>
  <c r="G36" i="50"/>
  <c r="H18" l="1"/>
  <c r="C19" i="56"/>
  <c r="H97" i="50"/>
  <c r="C34" i="56"/>
  <c r="C42" l="1"/>
  <c r="D34" s="1"/>
  <c r="H122" i="50"/>
  <c r="L123" s="1"/>
  <c r="D21" i="56" l="1"/>
  <c r="D18"/>
  <c r="D16"/>
  <c r="D22"/>
  <c r="D17"/>
  <c r="D40"/>
  <c r="D33"/>
  <c r="D31"/>
  <c r="D39"/>
  <c r="D20"/>
  <c r="D36"/>
  <c r="D30"/>
  <c r="D26"/>
  <c r="D27"/>
  <c r="D28"/>
  <c r="D38"/>
  <c r="D25"/>
  <c r="D15"/>
  <c r="D23"/>
  <c r="D19"/>
  <c r="W44" l="1"/>
  <c r="W46" s="1"/>
  <c r="N44"/>
  <c r="N46" s="1"/>
  <c r="O44"/>
  <c r="O46" s="1"/>
  <c r="P44"/>
  <c r="P46" s="1"/>
  <c r="Q44"/>
  <c r="Q46" s="1"/>
  <c r="R44"/>
  <c r="R46" s="1"/>
  <c r="S44"/>
  <c r="S46" s="1"/>
  <c r="T44"/>
  <c r="T46" s="1"/>
  <c r="U44"/>
  <c r="U46" s="1"/>
  <c r="V44"/>
  <c r="V46" s="1"/>
  <c r="M44"/>
  <c r="M46" s="1"/>
  <c r="L44"/>
  <c r="L46" s="1"/>
  <c r="K44"/>
  <c r="K46" s="1"/>
  <c r="J44"/>
  <c r="J46" s="1"/>
  <c r="I44"/>
  <c r="I46" s="1"/>
  <c r="H44"/>
  <c r="H46" s="1"/>
  <c r="G44"/>
  <c r="G46" s="1"/>
  <c r="F44"/>
  <c r="F46" s="1"/>
  <c r="E44"/>
  <c r="D42"/>
  <c r="E46" l="1"/>
  <c r="E45"/>
  <c r="E47" l="1"/>
  <c r="F45"/>
  <c r="F47" l="1"/>
  <c r="G45"/>
  <c r="G47" l="1"/>
  <c r="H45"/>
  <c r="H47" l="1"/>
  <c r="I45"/>
  <c r="I47" l="1"/>
  <c r="J45"/>
  <c r="J47" l="1"/>
  <c r="K45"/>
  <c r="K47" l="1"/>
  <c r="L45"/>
  <c r="L47" l="1"/>
  <c r="M45"/>
  <c r="M47" l="1"/>
  <c r="N45"/>
  <c r="O45" l="1"/>
  <c r="N47"/>
  <c r="P45" l="1"/>
  <c r="O47"/>
  <c r="Q45" l="1"/>
  <c r="P47"/>
  <c r="R45" l="1"/>
  <c r="Q47"/>
  <c r="S45" l="1"/>
  <c r="R47"/>
  <c r="T45" l="1"/>
  <c r="S47"/>
  <c r="U45" l="1"/>
  <c r="T47"/>
  <c r="V45" l="1"/>
  <c r="U47"/>
  <c r="V47" l="1"/>
  <c r="W45"/>
  <c r="W47" s="1"/>
</calcChain>
</file>

<file path=xl/sharedStrings.xml><?xml version="1.0" encoding="utf-8"?>
<sst xmlns="http://schemas.openxmlformats.org/spreadsheetml/2006/main" count="4524" uniqueCount="1248">
  <si>
    <t>Cantidad</t>
  </si>
  <si>
    <t>Descripción</t>
  </si>
  <si>
    <t>TOTAL</t>
  </si>
  <si>
    <t>un</t>
  </si>
  <si>
    <t>ml</t>
  </si>
  <si>
    <t>m³</t>
  </si>
  <si>
    <t>m²</t>
  </si>
  <si>
    <t>2.1</t>
  </si>
  <si>
    <t>2.2</t>
  </si>
  <si>
    <t>Un</t>
  </si>
  <si>
    <t>Sistema de Telecomando</t>
  </si>
  <si>
    <t>Gl</t>
  </si>
  <si>
    <t>m</t>
  </si>
  <si>
    <t>Caseta de Cloración</t>
  </si>
  <si>
    <t>1.3</t>
  </si>
  <si>
    <t>1.2</t>
  </si>
  <si>
    <t>1.1</t>
  </si>
  <si>
    <t>1.1.1</t>
  </si>
  <si>
    <t>1.1.2</t>
  </si>
  <si>
    <t>1.1.3</t>
  </si>
  <si>
    <t>1.2.1</t>
  </si>
  <si>
    <t>1.2.2</t>
  </si>
  <si>
    <t>1.2.3</t>
  </si>
  <si>
    <t>1.3.1</t>
  </si>
  <si>
    <t>1.2.4</t>
  </si>
  <si>
    <t>1.2.5</t>
  </si>
  <si>
    <t>1.1.4</t>
  </si>
  <si>
    <t>CAÑERIA PRINCIPAL (NEXO)</t>
  </si>
  <si>
    <t>2.1.1</t>
  </si>
  <si>
    <t>2.1.2</t>
  </si>
  <si>
    <t>2.1.3</t>
  </si>
  <si>
    <t>2.2.1</t>
  </si>
  <si>
    <t>2.2.2</t>
  </si>
  <si>
    <t>2.2.3</t>
  </si>
  <si>
    <t>Cerco perimetral Cisterna 1000m³  (Predio 50m x 50m)</t>
  </si>
  <si>
    <t>Cerco perimetral Caseta y Cisterna 100m3 (Predio 30 mx 20 m)</t>
  </si>
  <si>
    <t>Tablero principal y secundario</t>
  </si>
  <si>
    <t>CERCOS PERIMETRALES</t>
  </si>
  <si>
    <t>Drenes bajo cisterna</t>
  </si>
  <si>
    <t>Pintura interna con epoxi</t>
  </si>
  <si>
    <t>Tapas de acceso, ventilaciones y escalera externa e interna</t>
  </si>
  <si>
    <t>1.4</t>
  </si>
  <si>
    <t>1.4.1</t>
  </si>
  <si>
    <t>1.4.2</t>
  </si>
  <si>
    <t>1.4.3</t>
  </si>
  <si>
    <t>Dosificadores de cloro liquido con control por caudal</t>
  </si>
  <si>
    <t>Sensor de cloro residual con sistema de alarma</t>
  </si>
  <si>
    <t>1.5.1</t>
  </si>
  <si>
    <t>1.5.3</t>
  </si>
  <si>
    <t>Rubro</t>
  </si>
  <si>
    <t>Sistema de abastecimiento de agua potable</t>
  </si>
  <si>
    <t>Precio Unit</t>
  </si>
  <si>
    <t>Total</t>
  </si>
  <si>
    <t>m3</t>
  </si>
  <si>
    <t>Prov.y coloc. de Hidrante 75 mm- Incluye construcción de cámara</t>
  </si>
  <si>
    <t>m2</t>
  </si>
  <si>
    <t>Red Vial</t>
  </si>
  <si>
    <t>Subestación Transformadora</t>
  </si>
  <si>
    <t>Red Eléctrica y Alumbrado Público</t>
  </si>
  <si>
    <t>CAÑERIAS DE DISTRIBUCION</t>
  </si>
  <si>
    <t>BOCAS DE REGISTRO</t>
  </si>
  <si>
    <t>CAÑERIAS COLECTORAS</t>
  </si>
  <si>
    <t xml:space="preserve">Red Primaria de Media Tensión </t>
  </si>
  <si>
    <t>Prov. y coloc. cables subterráneos  1,1 Kv, 1x240 mm2</t>
  </si>
  <si>
    <t>NEXO</t>
  </si>
  <si>
    <t>1.6</t>
  </si>
  <si>
    <t>1.7</t>
  </si>
  <si>
    <t>1.8</t>
  </si>
  <si>
    <t>1.9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</si>
  <si>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</si>
  <si>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</si>
  <si>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</si>
  <si>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</si>
  <si>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</si>
  <si>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</si>
  <si>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</si>
  <si>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</si>
  <si>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</si>
  <si>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</si>
  <si>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</si>
  <si>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</si>
  <si>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</si>
  <si>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</si>
  <si>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</si>
  <si>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</si>
  <si>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</si>
  <si>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1.8.1</t>
  </si>
  <si>
    <t>1.8.2</t>
  </si>
  <si>
    <t>1.8.3</t>
  </si>
  <si>
    <t>1.8.4</t>
  </si>
  <si>
    <t>1.8.5</t>
  </si>
  <si>
    <t>1.8.6</t>
  </si>
  <si>
    <t>1.8.7</t>
  </si>
  <si>
    <t>1.8.8</t>
  </si>
  <si>
    <t>1.8.9</t>
  </si>
  <si>
    <t>1.9.1</t>
  </si>
  <si>
    <t>1.9.2</t>
  </si>
  <si>
    <t>1.9.3</t>
  </si>
  <si>
    <t>1.9.4</t>
  </si>
  <si>
    <t>Prov.y colocación de Artefactos Strand JC 250-AR 100</t>
  </si>
  <si>
    <t xml:space="preserve">Prov. y coloc. cables subterráneos  CU 15 Kv cat.II 1x70 mm2 </t>
  </si>
  <si>
    <t xml:space="preserve">Provisión y montaje de estructura de suspensión de acero con brazo de alumbrado, con columna  T2-1372-8178 200/3                     </t>
  </si>
  <si>
    <t xml:space="preserve">Provisión y montaje de estructura de retención de acero con brazo de alumbrado, con columna  T2-1372-8178 600/3                     </t>
  </si>
  <si>
    <t xml:space="preserve">Provisión y montaje de estructura de retención de acero recta, con columna T2-1370-8317 - 200/3 - 7,00 mts libre.           </t>
  </si>
  <si>
    <t xml:space="preserve">Provisión y montaje de estructura de retención de acero recta, con columna T2-1370-8317 - 600/3 - 7,00 mts libre.                 </t>
  </si>
  <si>
    <t xml:space="preserve">Provisión, tendido y montaje de conductor de aluminio preensamblado, 3X50+50.                       </t>
  </si>
  <si>
    <t xml:space="preserve">Provisión, tendido y montaje de conductor de aluminio preensamblado,  3X50+50+25.             </t>
  </si>
  <si>
    <t xml:space="preserve">Provisión, tendido y montaje de conductor de aluminio preensamblado,  3X70+50+25.                    </t>
  </si>
  <si>
    <t xml:space="preserve">Movimiento de suelo - Relleno </t>
  </si>
  <si>
    <t>2.3</t>
  </si>
  <si>
    <t>2.4</t>
  </si>
  <si>
    <t>2.3.1</t>
  </si>
  <si>
    <t>2.3.2</t>
  </si>
  <si>
    <t>2.3.3</t>
  </si>
  <si>
    <t>2.4.1</t>
  </si>
  <si>
    <t>2.4.2</t>
  </si>
  <si>
    <t>2.4.3</t>
  </si>
  <si>
    <t>3.1</t>
  </si>
  <si>
    <t>3.1.1</t>
  </si>
  <si>
    <t>3.1.2</t>
  </si>
  <si>
    <t>3.2</t>
  </si>
  <si>
    <t>3.2.1</t>
  </si>
  <si>
    <t>4.1</t>
  </si>
  <si>
    <t>4.1.1</t>
  </si>
  <si>
    <t>4.2</t>
  </si>
  <si>
    <t>4.2.1</t>
  </si>
  <si>
    <t>4.2.2</t>
  </si>
  <si>
    <t>5.1</t>
  </si>
  <si>
    <t>5.1.1</t>
  </si>
  <si>
    <t>6.1</t>
  </si>
  <si>
    <t>6.2</t>
  </si>
  <si>
    <t>6.3</t>
  </si>
  <si>
    <t>6.1.1</t>
  </si>
  <si>
    <t>6.1.2</t>
  </si>
  <si>
    <t>6.1.3</t>
  </si>
  <si>
    <t>6.1.4</t>
  </si>
  <si>
    <t>6.2.1</t>
  </si>
  <si>
    <t>6.2.2</t>
  </si>
  <si>
    <t>6.2.3</t>
  </si>
  <si>
    <t>6.2.4</t>
  </si>
  <si>
    <t>6.3.1</t>
  </si>
  <si>
    <t>ANÁLISIS DE PRECIOS</t>
  </si>
  <si>
    <t>ITEM Nº:</t>
  </si>
  <si>
    <t>UNIDAD:</t>
  </si>
  <si>
    <t>MATERIALES/EQUIPOS</t>
  </si>
  <si>
    <t>Nº</t>
  </si>
  <si>
    <t>DESIGNACIÓN</t>
  </si>
  <si>
    <t>UNITARIO</t>
  </si>
  <si>
    <t>CANTIDAD</t>
  </si>
  <si>
    <t>$ UNITARIO</t>
  </si>
  <si>
    <t>$ TOTALES</t>
  </si>
  <si>
    <t xml:space="preserve">A  TOTAL </t>
  </si>
  <si>
    <t>MANO DE OBRA</t>
  </si>
  <si>
    <t>Oficial especializado</t>
  </si>
  <si>
    <t>Hs</t>
  </si>
  <si>
    <t>Oficial</t>
  </si>
  <si>
    <t>Medio oficial</t>
  </si>
  <si>
    <t>Ayudante</t>
  </si>
  <si>
    <t>B  TOTAL</t>
  </si>
  <si>
    <t>TOTAL C=A+B</t>
  </si>
  <si>
    <t>A FECHA:</t>
  </si>
  <si>
    <t>LICITACIÓN PÚBLICA Nº 41/13</t>
  </si>
  <si>
    <t>LOCALIDAD: Esquel</t>
  </si>
  <si>
    <t>COEFICIENTE RESUMEN</t>
  </si>
  <si>
    <t>%</t>
  </si>
  <si>
    <t>Julián Antonelli</t>
  </si>
  <si>
    <t>Marcelo A. Pasquini</t>
  </si>
  <si>
    <t>Ing. Civil M.P. 2161</t>
  </si>
  <si>
    <t>Socio Gerente</t>
  </si>
  <si>
    <t>Representante Técnico</t>
  </si>
  <si>
    <t>Pasquini Construcciones SRL</t>
  </si>
  <si>
    <t>COSTO DE MANO DE OBRA</t>
  </si>
  <si>
    <t>CATEGORIA</t>
  </si>
  <si>
    <t>SALARIO BÁSICO</t>
  </si>
  <si>
    <t>ASISTENCIA</t>
  </si>
  <si>
    <t>SALARIO DIRECTO</t>
  </si>
  <si>
    <t>CARGAS SOCIALES</t>
  </si>
  <si>
    <t>SEGUROS</t>
  </si>
  <si>
    <t>Productividad</t>
  </si>
  <si>
    <t>Justificación de (8)</t>
  </si>
  <si>
    <t>SALARIO</t>
  </si>
  <si>
    <t>20% de (2)</t>
  </si>
  <si>
    <t>87.04% de (4)</t>
  </si>
  <si>
    <t>5% de (4)</t>
  </si>
  <si>
    <t>[$/h]</t>
  </si>
  <si>
    <t>(1)</t>
  </si>
  <si>
    <t>(2)</t>
  </si>
  <si>
    <t>(3)</t>
  </si>
  <si>
    <t>(4)=(2+3)</t>
  </si>
  <si>
    <t>(5)</t>
  </si>
  <si>
    <t>(6)</t>
  </si>
  <si>
    <t>(7)=(4)+(5)+(6)</t>
  </si>
  <si>
    <t>(8)</t>
  </si>
  <si>
    <t>(9)</t>
  </si>
  <si>
    <t>(10)=(7)+(8)</t>
  </si>
  <si>
    <t>OFICIAL ESPECIALIZADO</t>
  </si>
  <si>
    <t>-</t>
  </si>
  <si>
    <t xml:space="preserve">OFICIAL </t>
  </si>
  <si>
    <t>MEDIO OFICIAL</t>
  </si>
  <si>
    <t>AYUDANTE</t>
  </si>
  <si>
    <t>PLANILLA DE COSTO DE LOS EQUIPOS</t>
  </si>
  <si>
    <t>Tasa de interes  i = 18  %</t>
  </si>
  <si>
    <t>Nro</t>
  </si>
  <si>
    <t>Designación</t>
  </si>
  <si>
    <t>Potencia</t>
  </si>
  <si>
    <t>Costo actual</t>
  </si>
  <si>
    <t>Valor  residual</t>
  </si>
  <si>
    <t>Vida útil</t>
  </si>
  <si>
    <t>Uso anual</t>
  </si>
  <si>
    <t>Costo Amort. e Intereses</t>
  </si>
  <si>
    <t>Reparac. y rep.</t>
  </si>
  <si>
    <t>Combustibles</t>
  </si>
  <si>
    <t>Lubric.</t>
  </si>
  <si>
    <t>Comb y Lubric.</t>
  </si>
  <si>
    <t>Costo horario</t>
  </si>
  <si>
    <t>Dólar:</t>
  </si>
  <si>
    <t>Residual</t>
  </si>
  <si>
    <t>Util</t>
  </si>
  <si>
    <t>Anual</t>
  </si>
  <si>
    <t>Amort.</t>
  </si>
  <si>
    <t>Interes</t>
  </si>
  <si>
    <t>Subtotal</t>
  </si>
  <si>
    <t>y Repuesto</t>
  </si>
  <si>
    <t>Tipo</t>
  </si>
  <si>
    <t>Precio U.</t>
  </si>
  <si>
    <t>Consumo</t>
  </si>
  <si>
    <t>Costo</t>
  </si>
  <si>
    <t>HP</t>
  </si>
  <si>
    <t>(U$S)</t>
  </si>
  <si>
    <t>($)</t>
  </si>
  <si>
    <t>(h)</t>
  </si>
  <si>
    <t>($/h)</t>
  </si>
  <si>
    <t>($/lt)</t>
  </si>
  <si>
    <t>lt/h HP</t>
  </si>
  <si>
    <t xml:space="preserve"> ($/h)</t>
  </si>
  <si>
    <t>(4)</t>
  </si>
  <si>
    <t>(7)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</si>
  <si>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</si>
  <si>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</si>
  <si>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</si>
  <si>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</si>
  <si>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</si>
  <si>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</si>
  <si>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</si>
  <si>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</si>
  <si>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</si>
  <si>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Cargadora  CAT 930</t>
  </si>
  <si>
    <t>Gasoil</t>
  </si>
  <si>
    <t>Camión  c/ caja volcadora</t>
  </si>
  <si>
    <t>Retroexcavadora  JD 410 J</t>
  </si>
  <si>
    <t>Retroexcavadora  JD 310</t>
  </si>
  <si>
    <t>Excavadora  JD 200 CLC</t>
  </si>
  <si>
    <t>Motoniveladora CAT 120</t>
  </si>
  <si>
    <t>Topadora  AD 20</t>
  </si>
  <si>
    <t>Tractor  Neumático 800</t>
  </si>
  <si>
    <t>Rodillo Vibrante</t>
  </si>
  <si>
    <t>Rodillo neumático</t>
  </si>
  <si>
    <t>Camión Semirremolque</t>
  </si>
  <si>
    <t>Camión regador</t>
  </si>
  <si>
    <t xml:space="preserve">Grilla </t>
  </si>
  <si>
    <t>Placa Vibradora</t>
  </si>
  <si>
    <t>Nafta</t>
  </si>
  <si>
    <t>Soldadora electrica</t>
  </si>
  <si>
    <t>Máquina Hormig. a explosión</t>
  </si>
  <si>
    <t>Camión c/ Grúa</t>
  </si>
  <si>
    <t>Bomba achique</t>
  </si>
  <si>
    <t>Vibrador de agujas</t>
  </si>
  <si>
    <t>Camioneta Ford 350 Diesel</t>
  </si>
  <si>
    <t>Planta Dosificadora de Hor.</t>
  </si>
  <si>
    <t>Camión - mixer</t>
  </si>
  <si>
    <t>Electrofusionadora</t>
  </si>
  <si>
    <t>Plegadora Chapa</t>
  </si>
  <si>
    <t>Equipo Topógrafico Completo</t>
  </si>
  <si>
    <t>COSTO TOTAL DEL ITEM</t>
  </si>
  <si>
    <t>PRECIO</t>
  </si>
  <si>
    <t>P = C x Coef. Resumen</t>
  </si>
  <si>
    <t>I=</t>
  </si>
  <si>
    <t>II=</t>
  </si>
  <si>
    <t>GASTOS GENERALES:</t>
  </si>
  <si>
    <t>III=</t>
  </si>
  <si>
    <t>BENEFICIO:</t>
  </si>
  <si>
    <t>V=</t>
  </si>
  <si>
    <t>IVA:</t>
  </si>
  <si>
    <t>COSTO NETO TOTAL:</t>
  </si>
  <si>
    <t>PRECIO TOTAL DEL ITEM: (I+II+II+IV)</t>
  </si>
  <si>
    <t>IV:</t>
  </si>
  <si>
    <t>PO:</t>
  </si>
  <si>
    <t>GASTOS  GENERALES</t>
  </si>
  <si>
    <t>Oferta:</t>
  </si>
  <si>
    <t>GASTOS  GENERALES  DIRECTOS</t>
  </si>
  <si>
    <t>Estimado</t>
  </si>
  <si>
    <t>Estimado real</t>
  </si>
  <si>
    <t>Capataz</t>
  </si>
  <si>
    <t>Porcentaje del Costo</t>
  </si>
  <si>
    <t>Proyecto eléctrico</t>
  </si>
  <si>
    <t>Proyecto estructural</t>
  </si>
  <si>
    <t>Gastos de Inspección</t>
  </si>
  <si>
    <t>Gastos de tramitación</t>
  </si>
  <si>
    <t>Energía y combustible de obra</t>
  </si>
  <si>
    <t>Seguros</t>
  </si>
  <si>
    <t xml:space="preserve">Sereno </t>
  </si>
  <si>
    <t>Fletes</t>
  </si>
  <si>
    <t>Alojamiento y pensión</t>
  </si>
  <si>
    <t>PORCENTAJE G. G DIRECTOS:</t>
  </si>
  <si>
    <t>GASTOS  GENERALES  INDIRECTOS</t>
  </si>
  <si>
    <t>Administración central</t>
  </si>
  <si>
    <t>Impuestos</t>
  </si>
  <si>
    <t>Seguros y sellados</t>
  </si>
  <si>
    <t>PORCENTAJE G. G INDIRECTOS:</t>
  </si>
  <si>
    <t>GG TOTAL:</t>
  </si>
  <si>
    <t>G. Financiero:</t>
  </si>
  <si>
    <t>Beneficio:</t>
  </si>
  <si>
    <r>
      <t xml:space="preserve">de </t>
    </r>
    <r>
      <rPr>
        <b/>
        <sz val="12"/>
        <rFont val="Calibri"/>
        <family val="2"/>
        <scheme val="minor"/>
      </rPr>
      <t>I</t>
    </r>
  </si>
  <si>
    <r>
      <t xml:space="preserve">de </t>
    </r>
    <r>
      <rPr>
        <b/>
        <sz val="12"/>
        <rFont val="Calibri"/>
        <family val="2"/>
        <scheme val="minor"/>
      </rPr>
      <t>I+II</t>
    </r>
  </si>
  <si>
    <r>
      <t xml:space="preserve">de </t>
    </r>
    <r>
      <rPr>
        <b/>
        <sz val="12"/>
        <rFont val="Calibri"/>
        <family val="2"/>
        <scheme val="minor"/>
      </rPr>
      <t>I+II+III</t>
    </r>
  </si>
  <si>
    <t>CD - PO:</t>
  </si>
  <si>
    <t>MES</t>
  </si>
  <si>
    <t>% AVANCE MENSUAL</t>
  </si>
  <si>
    <t>MENSUAL</t>
  </si>
  <si>
    <t>ACUMULADO</t>
  </si>
  <si>
    <t>INVERSIÓN</t>
  </si>
  <si>
    <t>OBRA: Urbanizacion Valle Chico 1ª etapa: Obras de Infraestructura Pública y Nexos</t>
  </si>
  <si>
    <t>Estacas de madera</t>
  </si>
  <si>
    <t>Tablestacas de madera</t>
  </si>
  <si>
    <t>Retroexcavadora</t>
  </si>
  <si>
    <t>hs</t>
  </si>
  <si>
    <t>Cargadora</t>
  </si>
  <si>
    <t>Motoniveladora</t>
  </si>
  <si>
    <t>Arena</t>
  </si>
  <si>
    <t>pie2</t>
  </si>
  <si>
    <t>MATERIALES</t>
  </si>
  <si>
    <t>Dolar:</t>
  </si>
  <si>
    <t>Precio Actualizado</t>
  </si>
  <si>
    <t>Inflación [%]:</t>
  </si>
  <si>
    <t>DESCRIPCIÓN</t>
  </si>
  <si>
    <t>MARCA/ORIGEN</t>
  </si>
  <si>
    <t>Unidad</t>
  </si>
  <si>
    <t>FECHA</t>
  </si>
  <si>
    <t>PRECIO S/IVA</t>
  </si>
  <si>
    <t>FUENTE</t>
  </si>
  <si>
    <t>FECHA:</t>
  </si>
  <si>
    <t>1.0</t>
  </si>
  <si>
    <t>ÁRIDOS</t>
  </si>
  <si>
    <t>LOCAL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</si>
  <si>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</si>
  <si>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Cantera Doña Julieta</t>
  </si>
  <si>
    <t xml:space="preserve">Arena volcánica </t>
  </si>
  <si>
    <t>EPUYÉN</t>
  </si>
  <si>
    <t>Cantera Doña Agustina (Epuyén)</t>
  </si>
  <si>
    <t>Piedra 3/4"</t>
  </si>
  <si>
    <t>Piedra 1 1/2"</t>
  </si>
  <si>
    <t>1.5</t>
  </si>
  <si>
    <t>Cascotes</t>
  </si>
  <si>
    <t>Estimación personal</t>
  </si>
  <si>
    <t>Arcilla expandida</t>
  </si>
  <si>
    <t>ARCILLEX</t>
  </si>
  <si>
    <t>Revista Vivienda</t>
  </si>
  <si>
    <t>Suelo granular seleccionado</t>
  </si>
  <si>
    <t>2.0</t>
  </si>
  <si>
    <t>AGLOMERANTES, HIDRÓFUGO, PEGAMENTOS, AISLACIONES</t>
  </si>
  <si>
    <t>Cemento Portland</t>
  </si>
  <si>
    <t>COMODORO</t>
  </si>
  <si>
    <t>kg</t>
  </si>
  <si>
    <t>Corralón Pasquini</t>
  </si>
  <si>
    <t>Cemento de albañilería</t>
  </si>
  <si>
    <t>CALTEX</t>
  </si>
  <si>
    <t>Revoque fino a la cal interior</t>
  </si>
  <si>
    <t>STUKO</t>
  </si>
  <si>
    <t>Hidrófugo</t>
  </si>
  <si>
    <t>CERESITA</t>
  </si>
  <si>
    <t>Basamento (Buenos Aires)</t>
  </si>
  <si>
    <t>2.5</t>
  </si>
  <si>
    <t>Pegamento impermeable fluido</t>
  </si>
  <si>
    <t>KLAUKOL</t>
  </si>
  <si>
    <t>2.6</t>
  </si>
  <si>
    <t>Pegamento para porcellanato fluido bolsa 30kg</t>
  </si>
  <si>
    <t>2.7</t>
  </si>
  <si>
    <t>Grouting SIKAGROUT 212</t>
  </si>
  <si>
    <t>SIKA</t>
  </si>
  <si>
    <t>2.8</t>
  </si>
  <si>
    <t>Anclaje químico</t>
  </si>
  <si>
    <t>FISHER</t>
  </si>
  <si>
    <t>Mercado libre</t>
  </si>
  <si>
    <t>2.9</t>
  </si>
  <si>
    <t>Fieltro asfáltico Ruberoyd</t>
  </si>
  <si>
    <t>ORMIFLEX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</si>
  <si>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</si>
  <si>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2.10</t>
  </si>
  <si>
    <t>Film de polietileno 200mcr</t>
  </si>
  <si>
    <t>2.11</t>
  </si>
  <si>
    <t>Pintura asfáltica</t>
  </si>
  <si>
    <t>lt</t>
  </si>
  <si>
    <t>2.12</t>
  </si>
  <si>
    <t>Lana de vidrio 50mm común</t>
  </si>
  <si>
    <t>ISOVER</t>
  </si>
  <si>
    <t>2.13</t>
  </si>
  <si>
    <t>Fieltro Rolac plata cubierta e=50mm</t>
  </si>
  <si>
    <t>2.14</t>
  </si>
  <si>
    <t>Red de sostén plástica</t>
  </si>
  <si>
    <t>VITROPLAS</t>
  </si>
  <si>
    <t>2.15</t>
  </si>
  <si>
    <t>Poliestireno espandido e:1cm; dens:10kg/m3</t>
  </si>
  <si>
    <t>ISOPOR</t>
  </si>
  <si>
    <t>2.16</t>
  </si>
  <si>
    <t>Revoque exterior monocapa PAREX</t>
  </si>
  <si>
    <t>3.0</t>
  </si>
  <si>
    <t>HIERROS, ALAMBRE, MALLAS, CLAVOS</t>
  </si>
  <si>
    <t>Acero ADN 420</t>
  </si>
  <si>
    <t>ACINDAR</t>
  </si>
  <si>
    <t>kgf</t>
  </si>
  <si>
    <t>Acero mallas AM 500</t>
  </si>
  <si>
    <t>3.3</t>
  </si>
  <si>
    <t>Perfil de chapa plegada</t>
  </si>
  <si>
    <t>3.4</t>
  </si>
  <si>
    <t>Alambre de fardo</t>
  </si>
  <si>
    <t>Precios Dante</t>
  </si>
  <si>
    <t>3.5</t>
  </si>
  <si>
    <t>Alambrón</t>
  </si>
  <si>
    <t>3.6</t>
  </si>
  <si>
    <t>Clavos Punta París</t>
  </si>
  <si>
    <t>3.7</t>
  </si>
  <si>
    <t>Tornillos autoperforantes</t>
  </si>
  <si>
    <t>3.8</t>
  </si>
  <si>
    <t>Ángulo 1 1/2" x 3/16" (2,71kg/m)</t>
  </si>
  <si>
    <t>3.9</t>
  </si>
  <si>
    <t>UPN 100</t>
  </si>
  <si>
    <t>3.10</t>
  </si>
  <si>
    <t>Planchuela 1 1/4" x 1/8"</t>
  </si>
  <si>
    <t>3.11</t>
  </si>
  <si>
    <t>Hierro TUBING 2 7/8"</t>
  </si>
  <si>
    <t>Marcelo Pasquini</t>
  </si>
  <si>
    <t>3.12</t>
  </si>
  <si>
    <t>Tubo estructural 30x30mm (6m)</t>
  </si>
  <si>
    <t>u</t>
  </si>
  <si>
    <t>3.13</t>
  </si>
  <si>
    <t>Tubo estructural 30x50mm (6m)</t>
  </si>
  <si>
    <t>3.14</t>
  </si>
  <si>
    <r>
      <t xml:space="preserve">Malla galvanizada 3x1,2m </t>
    </r>
    <r>
      <rPr>
        <sz val="11"/>
        <color theme="1"/>
        <rFont val="Calibri"/>
        <family val="2"/>
      </rPr>
      <t>φ2,6 25x25mm</t>
    </r>
  </si>
  <si>
    <t>3.15</t>
  </si>
  <si>
    <t>Electrodos p/soldar</t>
  </si>
  <si>
    <t>3.16</t>
  </si>
  <si>
    <t>Malla metal desplegado 1,5x3m (7,5kg/m2)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</si>
  <si>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/>
    </r>
  </si>
  <si>
    <t>4.0</t>
  </si>
  <si>
    <t>CHAPAS</t>
  </si>
  <si>
    <t>Chapa conformada galvanizada calibre Nº25</t>
  </si>
  <si>
    <t>Rincón del techado</t>
  </si>
  <si>
    <t>Chapa conformada prepintada calibre Nº25</t>
  </si>
  <si>
    <t>4.3</t>
  </si>
  <si>
    <t>Chapa galvanizada lisa 1,22mx2,44m Nº27</t>
  </si>
  <si>
    <t>4.4</t>
  </si>
  <si>
    <t>Chapa prepintada lisa 1,22mx2,44m Nº27</t>
  </si>
  <si>
    <t>4.5</t>
  </si>
  <si>
    <t>Chapa ondulada de fibrocemento 1,10x1,22x6mm</t>
  </si>
  <si>
    <t>ETERNIT</t>
  </si>
  <si>
    <t>5.0</t>
  </si>
  <si>
    <t>MAMPOSTERÍA</t>
  </si>
  <si>
    <t>Ladrillo macizo común 5x12x23</t>
  </si>
  <si>
    <t>Basamento</t>
  </si>
  <si>
    <t>5.2</t>
  </si>
  <si>
    <t>Ladrillo cerámico hueco 8x18x33</t>
  </si>
  <si>
    <t>CUNMALLEU</t>
  </si>
  <si>
    <t>5.3</t>
  </si>
  <si>
    <t>Ladrillo cerámico hueco 12x18x33</t>
  </si>
  <si>
    <t>5.4</t>
  </si>
  <si>
    <t>Ladrillo cerámico hueco 18x18x33</t>
  </si>
  <si>
    <t>5.5</t>
  </si>
  <si>
    <t>Ladrillo cerámico doble muro 24x18x33</t>
  </si>
  <si>
    <t>Ferresur</t>
  </si>
  <si>
    <t>6.0</t>
  </si>
  <si>
    <t>CONSTRUCCIÓN EN SECO</t>
  </si>
  <si>
    <t>Placa de yeso 9,5mm estandar 1,2x2,4m</t>
  </si>
  <si>
    <t>DURLOCK</t>
  </si>
  <si>
    <t>Placa de yeso 12,5mm estandar 1,2x2,4m</t>
  </si>
  <si>
    <t>Masilla lista para usar</t>
  </si>
  <si>
    <t>6.4</t>
  </si>
  <si>
    <t>Solera 35mmx2,6m</t>
  </si>
  <si>
    <t>6.5</t>
  </si>
  <si>
    <t>Montante 34mmx2,6m</t>
  </si>
  <si>
    <t>6.6</t>
  </si>
  <si>
    <t>Cinta 75m</t>
  </si>
  <si>
    <t>6.7</t>
  </si>
  <si>
    <t>Tornillo T1</t>
  </si>
  <si>
    <t>6.8</t>
  </si>
  <si>
    <t>Tornillo T2</t>
  </si>
  <si>
    <t>7.0</t>
  </si>
  <si>
    <t>MADERA</t>
  </si>
  <si>
    <t>7.1</t>
  </si>
  <si>
    <t>Pino (hasta 4m)</t>
  </si>
  <si>
    <r>
      <t>pie</t>
    </r>
    <r>
      <rPr>
        <vertAlign val="superscript"/>
        <sz val="11"/>
        <color theme="1"/>
        <rFont val="Calibri"/>
        <family val="2"/>
        <scheme val="minor"/>
      </rPr>
      <t>2</t>
    </r>
  </si>
  <si>
    <t>Aserradero Los Cipreses</t>
  </si>
  <si>
    <t>7.2</t>
  </si>
  <si>
    <t>Ciprés (hasta 4m)</t>
  </si>
  <si>
    <t>7.3</t>
  </si>
  <si>
    <t>Lenga (hasta 4m)</t>
  </si>
  <si>
    <t>7.4</t>
  </si>
  <si>
    <t>Álamo</t>
  </si>
  <si>
    <t>7.5</t>
  </si>
  <si>
    <t>Terciado fenólico 1,22x2,44m esp. 18mm</t>
  </si>
  <si>
    <t>PLACASUR</t>
  </si>
  <si>
    <t>Tecnomadera</t>
  </si>
  <si>
    <t>7.6</t>
  </si>
  <si>
    <t>MDF revest. c/melamina 1,83x2,60m esp. 18mm</t>
  </si>
  <si>
    <t>8.0</t>
  </si>
  <si>
    <t>PISOS Y REVESTIMIENTOS</t>
  </si>
  <si>
    <t>8.1</t>
  </si>
  <si>
    <t>Mosaico granítico 30x30cm c/base gris</t>
  </si>
  <si>
    <t>VOLDECO</t>
  </si>
  <si>
    <t>8.2</t>
  </si>
  <si>
    <t>Mosaico granítico 30x30cm c/tono blanco</t>
  </si>
  <si>
    <t>8.3</t>
  </si>
  <si>
    <t>Mosaico piedra lavada 40x40cm color gris</t>
  </si>
  <si>
    <t>Uria Mosaicos y mármoles (Comodoro)</t>
  </si>
  <si>
    <t>8.4</t>
  </si>
  <si>
    <t>Baldosa calcárea biselada 40x60cm gris</t>
  </si>
  <si>
    <t>8.5</t>
  </si>
  <si>
    <t>Zócalo mosaico granítico 10x30cm c/base gris</t>
  </si>
  <si>
    <t>8.6</t>
  </si>
  <si>
    <t>Zócalo mosaico granítico 10x30cm c/tono blanco</t>
  </si>
  <si>
    <t>8.7</t>
  </si>
  <si>
    <t>Piezas cerámicas rojas de 8x16cm</t>
  </si>
  <si>
    <t>8.8</t>
  </si>
  <si>
    <t>Cerámico 20x20cm Tivoli p/revestimiento</t>
  </si>
  <si>
    <t>8.9</t>
  </si>
  <si>
    <t>Piso cerámico 36x36cm</t>
  </si>
  <si>
    <t>ALBERDI</t>
  </si>
  <si>
    <t>8.10</t>
  </si>
  <si>
    <t>Piso porcellanato 2da 46.5x46.5</t>
  </si>
  <si>
    <t>SAN LORENZO</t>
  </si>
  <si>
    <t>8.11</t>
  </si>
  <si>
    <t>Piso porcellanato línea Etruria/Style 60x60cm</t>
  </si>
  <si>
    <t>8.12</t>
  </si>
  <si>
    <t>Piso porcellanato Fortezze 50x50cm</t>
  </si>
  <si>
    <t>8.13</t>
  </si>
  <si>
    <t>Laja tipo pizarra verde grisacea, esp 2cm, irregular</t>
  </si>
  <si>
    <t>8.14</t>
  </si>
  <si>
    <t>Revestimiento cerámico 20x20cm color blanco</t>
  </si>
  <si>
    <t>8.15</t>
  </si>
  <si>
    <t>Revestimiento cerámico 20,2x20,2cm marfil</t>
  </si>
  <si>
    <t>8.16</t>
  </si>
  <si>
    <t>Guarda cerámica esmaltada ancho 5cm</t>
  </si>
  <si>
    <t>MAJA</t>
  </si>
  <si>
    <t>8.17</t>
  </si>
  <si>
    <t>Guarda cerámica esmaltada ancho 8cm</t>
  </si>
  <si>
    <t>8.18</t>
  </si>
  <si>
    <t>Endurecedor sup. cuarzo p/pisos industriales</t>
  </si>
  <si>
    <t>PROTEX</t>
  </si>
  <si>
    <t>8.19</t>
  </si>
  <si>
    <t>Sellador piluretánico p/juntas y fisuras SIKAFLEX</t>
  </si>
  <si>
    <t>cc</t>
  </si>
  <si>
    <t>8.20</t>
  </si>
  <si>
    <t>Asfalto plástico vertible PROTEX MASTIC</t>
  </si>
  <si>
    <t>9.0</t>
  </si>
  <si>
    <t>MARMOLERÍA</t>
  </si>
  <si>
    <t>9.1</t>
  </si>
  <si>
    <t>Mesada de granito gris mara 3,22cm espesor</t>
  </si>
  <si>
    <t>El Picapedrero Patagónico</t>
  </si>
  <si>
    <t>9.2</t>
  </si>
  <si>
    <t>Mesada de granito gris mara 1.84cm espesor</t>
  </si>
  <si>
    <t>9.3</t>
  </si>
  <si>
    <t>Mesada acero inox. esmerilado AISI 430 e=1,2mm</t>
  </si>
  <si>
    <t>Inoxidables Bariloche</t>
  </si>
  <si>
    <t>10.0</t>
  </si>
  <si>
    <t>CARPINTERÍAS Y HERRERÍA</t>
  </si>
  <si>
    <t>CHAPA Nº18</t>
  </si>
  <si>
    <t>10.1</t>
  </si>
  <si>
    <t>Ventiluz 60x100cm c/brazo empuje tipo V</t>
  </si>
  <si>
    <t>MARCOMET</t>
  </si>
  <si>
    <t>10.2</t>
  </si>
  <si>
    <t>Ventana corrediza 150x110cm tipo M3</t>
  </si>
  <si>
    <t>10.3</t>
  </si>
  <si>
    <t>Ventana corrediza 150x110cm tipo M1</t>
  </si>
  <si>
    <t>10.4</t>
  </si>
  <si>
    <t>Puerta 70x200cm tipo P7</t>
  </si>
  <si>
    <t>10.5</t>
  </si>
  <si>
    <t>Puerta 90x200cm tipo P3B</t>
  </si>
  <si>
    <t>10.6</t>
  </si>
  <si>
    <t>Portón garage 240x210cm</t>
  </si>
  <si>
    <t>SESAMO</t>
  </si>
  <si>
    <t>Puerta placa 70x200cm cedro, c/marco chapa Nº22</t>
  </si>
  <si>
    <t>OBLAK</t>
  </si>
  <si>
    <t>Puerta entrada 80x200cm cedro arana c/marco</t>
  </si>
  <si>
    <t>10.7</t>
  </si>
  <si>
    <t>Mueble bajo mesada</t>
  </si>
  <si>
    <t>ALUMINIO</t>
  </si>
  <si>
    <t>10.8</t>
  </si>
  <si>
    <t xml:space="preserve">Ventana oscilobatiente Maglei 1,5x1,2m 2 hojas </t>
  </si>
  <si>
    <t>REHAU</t>
  </si>
  <si>
    <t>10.9</t>
  </si>
  <si>
    <t xml:space="preserve">Ventana oscilobatiente Maglei 0,8x2m 1 hoja </t>
  </si>
  <si>
    <t>OTROS</t>
  </si>
  <si>
    <t>Cerradura antipánico</t>
  </si>
  <si>
    <t>Planchuela Acero inoxidable 3/16" AISI 304</t>
  </si>
  <si>
    <t>11.0</t>
  </si>
  <si>
    <t>PINTURA</t>
  </si>
  <si>
    <t>11.1</t>
  </si>
  <si>
    <t>Esmalte sintético p/carpintería metálica 4Lts</t>
  </si>
  <si>
    <t>11.2</t>
  </si>
  <si>
    <t>Esmalte sintético p/carpintería metálica 20Lts</t>
  </si>
  <si>
    <t>CENTRO</t>
  </si>
  <si>
    <t>11.3</t>
  </si>
  <si>
    <t>Esmalte epoxi color blanco 4Lts</t>
  </si>
  <si>
    <t>PINTATO</t>
  </si>
  <si>
    <t>11.4</t>
  </si>
  <si>
    <t>Antióxido p/carpinterías metálicas 4Lts</t>
  </si>
  <si>
    <t>N92</t>
  </si>
  <si>
    <t>11.5</t>
  </si>
  <si>
    <t>Antióxido p/carpinterías metálicas 20Lts</t>
  </si>
  <si>
    <t>11.6</t>
  </si>
  <si>
    <t>Latex profesional p/interior ALBACRYL 4Lts</t>
  </si>
  <si>
    <t>ALBA</t>
  </si>
  <si>
    <t>11.7</t>
  </si>
  <si>
    <t>Latex profesional p/interior ALBACRYL 20Lts</t>
  </si>
  <si>
    <t>11.8</t>
  </si>
  <si>
    <t>Latex acrílico p/exterior ALBAFRENT 4Lts</t>
  </si>
  <si>
    <t>11.9</t>
  </si>
  <si>
    <t>Latex acrílico p/exterior ALBAFRENT 20Lts</t>
  </si>
  <si>
    <t>11.10</t>
  </si>
  <si>
    <t>Latex acrílico p/ cielorrasos 20Lts</t>
  </si>
  <si>
    <t>DURALATEX</t>
  </si>
  <si>
    <t>11.11</t>
  </si>
  <si>
    <t>Barniz marino 4 Lts</t>
  </si>
  <si>
    <t>11.12</t>
  </si>
  <si>
    <t>Barniz marino 20 Lts</t>
  </si>
  <si>
    <t>11.13</t>
  </si>
  <si>
    <t>Impregnante protector de madera lasur 4Lts</t>
  </si>
  <si>
    <t>MADERIN</t>
  </si>
  <si>
    <t>11.14</t>
  </si>
  <si>
    <t>Enduido interior 4 kg</t>
  </si>
  <si>
    <t>11.15</t>
  </si>
  <si>
    <t>Fijador al aguarrás 4Lts</t>
  </si>
  <si>
    <t>11.16</t>
  </si>
  <si>
    <t>Fijador al aguarrás 20Lts</t>
  </si>
  <si>
    <t>11.17</t>
  </si>
  <si>
    <t>Pintura vial reflectiva c/microesferas</t>
  </si>
  <si>
    <t>GLOW</t>
  </si>
  <si>
    <t>12.0</t>
  </si>
  <si>
    <t>ACRISTALAMIENTO</t>
  </si>
  <si>
    <t>12.1</t>
  </si>
  <si>
    <t>Vidrio float Vasa 4mm</t>
  </si>
  <si>
    <t>12.2</t>
  </si>
  <si>
    <t>Vidrio float Vasa 6mm</t>
  </si>
  <si>
    <t>12.3</t>
  </si>
  <si>
    <t>Vidrio impreso Martele claro 4mm</t>
  </si>
  <si>
    <t>12.4</t>
  </si>
  <si>
    <t>Cristal laminado Blisan incoloro 3+3mm</t>
  </si>
  <si>
    <t>12.5</t>
  </si>
  <si>
    <t>Policarbonato compacto incoloro 4mm</t>
  </si>
  <si>
    <t>12.6</t>
  </si>
  <si>
    <t>Doble vidriado hermético DVH blinpanel</t>
  </si>
  <si>
    <t>Espejo Claro 4mm</t>
  </si>
  <si>
    <t>13.0</t>
  </si>
  <si>
    <t>INSTALACIÓN ELÉCTRICA</t>
  </si>
  <si>
    <t>13.1</t>
  </si>
  <si>
    <r>
      <t>Conductor 1,5mm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</si>
  <si>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t>13.2</t>
  </si>
  <si>
    <r>
      <t>Conductor 2,5mm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</si>
  <si>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13.3</t>
  </si>
  <si>
    <r>
      <t>Conductor 4mm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</si>
  <si>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13.4</t>
  </si>
  <si>
    <r>
      <t>Conductor 6mm</t>
    </r>
    <r>
      <rPr>
        <vertAlign val="superscript"/>
        <sz val="11"/>
        <color theme="1"/>
        <rFont val="Calibri"/>
        <family val="2"/>
        <scheme val="minor"/>
      </rPr>
      <t>2</t>
    </r>
  </si>
  <si>
    <t>Pirelli</t>
  </si>
  <si>
    <t>http://3campanas.com.ar/</t>
  </si>
  <si>
    <t>13.5</t>
  </si>
  <si>
    <t>Cable Sintenax 2x6mm</t>
  </si>
  <si>
    <t>13.6</t>
  </si>
  <si>
    <t>Cable Sintenax 4x6mm</t>
  </si>
  <si>
    <t>13.7</t>
  </si>
  <si>
    <t>Caja metálica rectangular 10x5</t>
  </si>
  <si>
    <t>u.</t>
  </si>
  <si>
    <t>13.8</t>
  </si>
  <si>
    <t>Caja metálica cuadrada 10x10</t>
  </si>
  <si>
    <t>13.9</t>
  </si>
  <si>
    <t>Caja metálica octogonal chica</t>
  </si>
  <si>
    <t>13.10</t>
  </si>
  <si>
    <t>Caja metálica octogonal grande</t>
  </si>
  <si>
    <t>13.11</t>
  </si>
  <si>
    <t>Tablero de PVC para Interior - 12 Modulos</t>
  </si>
  <si>
    <t>13.12</t>
  </si>
  <si>
    <t>Interruptor termomagnético 2x10A 6KA</t>
  </si>
  <si>
    <t>Casa Blanco (Neuquén)</t>
  </si>
  <si>
    <t>13.13</t>
  </si>
  <si>
    <t>Interruptor termomagnético 2x16A 6KA</t>
  </si>
  <si>
    <t>13.14</t>
  </si>
  <si>
    <t>Interruptor termomagnético 4x25A 6KA</t>
  </si>
  <si>
    <t>13.15</t>
  </si>
  <si>
    <t>Interruptor termomagnético 4x40A 6KA</t>
  </si>
  <si>
    <t>13.16</t>
  </si>
  <si>
    <t>Disyuntor diferencial tetrapolar 4x25A 30mA</t>
  </si>
  <si>
    <t>GENERAL ELECTRIC</t>
  </si>
  <si>
    <t>13.17</t>
  </si>
  <si>
    <t>Caño de hierro para electricidad φ3/4" (3m)</t>
  </si>
  <si>
    <t>13.18</t>
  </si>
  <si>
    <t>Caño de hierro para electricidad φ1" (3m)</t>
  </si>
  <si>
    <t>13.19</t>
  </si>
  <si>
    <t>Manguera azul 3/4"</t>
  </si>
  <si>
    <t>13.20</t>
  </si>
  <si>
    <r>
      <t xml:space="preserve">Jabalina de cobre </t>
    </r>
    <r>
      <rPr>
        <sz val="11"/>
        <color theme="1"/>
        <rFont val="Calibri"/>
        <family val="2"/>
      </rPr>
      <t>φ5/8</t>
    </r>
    <r>
      <rPr>
        <sz val="10"/>
        <rFont val="Arial"/>
        <family val="2"/>
      </rPr>
      <t xml:space="preserve"> de 3m</t>
    </r>
  </si>
  <si>
    <t>13.21</t>
  </si>
  <si>
    <t>Módulo 1 punto/toma c/tapa y bastidor</t>
  </si>
  <si>
    <t xml:space="preserve">TECLASTAR </t>
  </si>
  <si>
    <t>13.22</t>
  </si>
  <si>
    <t>Módulo 2 puntos/tomas c/tapa y bastidor</t>
  </si>
  <si>
    <t>13.23</t>
  </si>
  <si>
    <t>Tomacorriente exterior</t>
  </si>
  <si>
    <t>ARTEFACTOS</t>
  </si>
  <si>
    <t>13.24</t>
  </si>
  <si>
    <t>Art. Embutido c/louver 2x36W</t>
  </si>
  <si>
    <t>13.25</t>
  </si>
  <si>
    <t>Art. Circular embutido 2x16W c/louver y lámparas</t>
  </si>
  <si>
    <t>QUASAR</t>
  </si>
  <si>
    <t>13.26</t>
  </si>
  <si>
    <t>Art. Plafón estanco 2x36W NAUTILUS c/tubos</t>
  </si>
  <si>
    <t>13.27</t>
  </si>
  <si>
    <t>Art. Campana galponera 400W NAVE c/lámpara</t>
  </si>
  <si>
    <t>13.28</t>
  </si>
  <si>
    <t>Luz de emergencia 20W 10hs</t>
  </si>
  <si>
    <t>ATOMLUX</t>
  </si>
  <si>
    <t>13.29</t>
  </si>
  <si>
    <t>Periscopio Fayser 8 puestos p/red</t>
  </si>
  <si>
    <t>13.30</t>
  </si>
  <si>
    <t>Pararrayos de 5 puntas</t>
  </si>
  <si>
    <t>14.0</t>
  </si>
  <si>
    <t>INSTALACIÓN SANITARIA</t>
  </si>
  <si>
    <t>http://www.sanitariosarieta.com.ar/</t>
  </si>
  <si>
    <t>http://www.delsursanitarios.com.ar/</t>
  </si>
  <si>
    <t>CLOACAL</t>
  </si>
  <si>
    <t>14.1</t>
  </si>
  <si>
    <t>Caño PVC 3,2mm φ160 de 4mts</t>
  </si>
  <si>
    <t>14.2</t>
  </si>
  <si>
    <t>Caño PVC 3,2mm φ110 de 4mts</t>
  </si>
  <si>
    <t>14.3</t>
  </si>
  <si>
    <t>Caño PVC 3,2mm φ63 de 4mts</t>
  </si>
  <si>
    <t>14.4</t>
  </si>
  <si>
    <t>Caño PVC 3,2mm φ50 de 4mts</t>
  </si>
  <si>
    <t>14.5</t>
  </si>
  <si>
    <t>Caño PVC 3,2mm φ40 de 4mts</t>
  </si>
  <si>
    <t>14.6</t>
  </si>
  <si>
    <t>Ramal φ110 a 45º PVC</t>
  </si>
  <si>
    <t>14.7</t>
  </si>
  <si>
    <t>Codo φ110 a 90º PVC</t>
  </si>
  <si>
    <t>14.8</t>
  </si>
  <si>
    <t>Pileta de patio PVC 10x10</t>
  </si>
  <si>
    <t>14.9</t>
  </si>
  <si>
    <t>Cámara de inspección premoldeada</t>
  </si>
  <si>
    <t>14.10</t>
  </si>
  <si>
    <r>
      <t xml:space="preserve">Cámara sedimentadora digestora </t>
    </r>
    <r>
      <rPr>
        <sz val="11"/>
        <color theme="1"/>
        <rFont val="Calibri"/>
        <family val="2"/>
      </rPr>
      <t>φ2.50m de Hº</t>
    </r>
  </si>
  <si>
    <t>Premoldeados Arg</t>
  </si>
  <si>
    <t>AGUA</t>
  </si>
  <si>
    <t>14.11</t>
  </si>
  <si>
    <t>Caño de polipropileno p/termofusión φ20</t>
  </si>
  <si>
    <t>ACQUASYSTEM</t>
  </si>
  <si>
    <t>14.12</t>
  </si>
  <si>
    <t>Caño de polipropileno p/termofusión φ25</t>
  </si>
  <si>
    <t>14.13</t>
  </si>
  <si>
    <t>Caño de polipropileno p/termofusión φ32</t>
  </si>
  <si>
    <t>14.14</t>
  </si>
  <si>
    <t>Caño de polipropileno p/termofusión φ40</t>
  </si>
  <si>
    <t>14.15</t>
  </si>
  <si>
    <t>Caño de polipropileno p/termofusión φ50</t>
  </si>
  <si>
    <t>14.16</t>
  </si>
  <si>
    <t>Tanque 1.000lts polietileno</t>
  </si>
  <si>
    <t>14.17</t>
  </si>
  <si>
    <t>Tanque 5.000Lts polietileno</t>
  </si>
  <si>
    <t>Marolla (Neuquén)</t>
  </si>
  <si>
    <t>14.18</t>
  </si>
  <si>
    <t>Tanque 10.000Lts polietileno</t>
  </si>
  <si>
    <t>14.19</t>
  </si>
  <si>
    <t>Tanque 15.000Lts polietileno</t>
  </si>
  <si>
    <t>14.20</t>
  </si>
  <si>
    <t>Tanque 25.000Lts polietileno</t>
  </si>
  <si>
    <t>14.21</t>
  </si>
  <si>
    <t>Bomba centrífuga 3/4HP, 30mca, 5.4m3/h</t>
  </si>
  <si>
    <t>14.22</t>
  </si>
  <si>
    <t>Termotanque eléctrico 125lts</t>
  </si>
  <si>
    <t>ARTEFACTOS SANITARIOS</t>
  </si>
  <si>
    <t>Lavatorio blanco 3 agujeros línea BARI</t>
  </si>
  <si>
    <t>FERRUM</t>
  </si>
  <si>
    <t>14.23</t>
  </si>
  <si>
    <t>Lavatorio blanco línea ADRIATICA</t>
  </si>
  <si>
    <t>14.24</t>
  </si>
  <si>
    <t>Lavatorio 3 agujeros blanco línea ANDINA</t>
  </si>
  <si>
    <t>14.25</t>
  </si>
  <si>
    <t>Lavatorio p/discapacitados ESPACIO modelo LET1F</t>
  </si>
  <si>
    <t>Rincón del Techado</t>
  </si>
  <si>
    <t>14.26</t>
  </si>
  <si>
    <t>Columna p/lavatorio línea BARI</t>
  </si>
  <si>
    <t>14.27</t>
  </si>
  <si>
    <t>Columna p/lavatorio línea ADRIATICA</t>
  </si>
  <si>
    <t>14.28</t>
  </si>
  <si>
    <t>Columna p/lavatorio línea ANDINA</t>
  </si>
  <si>
    <t>14.29</t>
  </si>
  <si>
    <t>Bidet blanco 3 agujeros línea BARI</t>
  </si>
  <si>
    <t>14.30</t>
  </si>
  <si>
    <t>Bidet blanco línea ADRIATICA</t>
  </si>
  <si>
    <t>14.31</t>
  </si>
  <si>
    <t>Bidet blanco línea ANDINA</t>
  </si>
  <si>
    <t>14.32</t>
  </si>
  <si>
    <t>Inodoro corto blanco línea BARI</t>
  </si>
  <si>
    <t>14.33</t>
  </si>
  <si>
    <t>Inodoro corto blanco línea ADRIATICA</t>
  </si>
  <si>
    <t>14.34</t>
  </si>
  <si>
    <t>Inodoro corto blanco línea ANDINA</t>
  </si>
  <si>
    <t>14.35</t>
  </si>
  <si>
    <t>Inodoro corto p/discapacitados s/accesorios</t>
  </si>
  <si>
    <t>14.36</t>
  </si>
  <si>
    <t>Inodoro discapacitados ESPACIO modelo IETJ</t>
  </si>
  <si>
    <t>14.37</t>
  </si>
  <si>
    <t>Depósito blanco de apoyar  BARI</t>
  </si>
  <si>
    <t>14.38</t>
  </si>
  <si>
    <t>Depósito blanco línea ADRIATICA</t>
  </si>
  <si>
    <t>14.39</t>
  </si>
  <si>
    <t>Depósito mochila grande ANDINA</t>
  </si>
  <si>
    <t>14.40</t>
  </si>
  <si>
    <t>Depósito completo ext. p/discapacitados</t>
  </si>
  <si>
    <t>14.41</t>
  </si>
  <si>
    <t>Depósito línea ESPACIO modelo DTEXF</t>
  </si>
  <si>
    <t>14.42</t>
  </si>
  <si>
    <t>Mingitorio mural corto MMC blanco</t>
  </si>
  <si>
    <t>14.43</t>
  </si>
  <si>
    <t>Derpla asiento blanco encapsulado línea BARI</t>
  </si>
  <si>
    <t>14.44</t>
  </si>
  <si>
    <t>Asiento p/discapacitados TTE3B</t>
  </si>
  <si>
    <t>14.45</t>
  </si>
  <si>
    <t>Barral rebatible 60cm</t>
  </si>
  <si>
    <t>14.46</t>
  </si>
  <si>
    <t>Barral rebatible 80cm</t>
  </si>
  <si>
    <t>14.47</t>
  </si>
  <si>
    <t>Jabonera 15x15cm con agarradera, blanca</t>
  </si>
  <si>
    <t>14.48</t>
  </si>
  <si>
    <t>Percha simple, blanca</t>
  </si>
  <si>
    <t>14.49</t>
  </si>
  <si>
    <t>Portarrollo, blanco</t>
  </si>
  <si>
    <t>14.50</t>
  </si>
  <si>
    <t>Toallero integral, blanco</t>
  </si>
  <si>
    <t>GRIFERÍA</t>
  </si>
  <si>
    <t>14.51</t>
  </si>
  <si>
    <t>Grifería p/lavatorio línea MALENA cromo</t>
  </si>
  <si>
    <t>FV</t>
  </si>
  <si>
    <t>14.52</t>
  </si>
  <si>
    <t>Grifería p/lavatorio línea DIQUE</t>
  </si>
  <si>
    <t>PEIRANO</t>
  </si>
  <si>
    <t>14.53</t>
  </si>
  <si>
    <t>Grifería p/ducha línea MALENA cromo</t>
  </si>
  <si>
    <t>14.54</t>
  </si>
  <si>
    <t>Grifería p/bidet línea MALENA cromo</t>
  </si>
  <si>
    <t>14.55</t>
  </si>
  <si>
    <t>Grifería p/bidet línea ALLEGRO cromo</t>
  </si>
  <si>
    <t>14.56</t>
  </si>
  <si>
    <t>Grifería p/bidet línea DIQUE</t>
  </si>
  <si>
    <t>14.57</t>
  </si>
  <si>
    <t>Grifería p/cocina línea ALLEGRO cromo</t>
  </si>
  <si>
    <t>14.58</t>
  </si>
  <si>
    <t>Grifería p/cocina línea ARIZONA cromo</t>
  </si>
  <si>
    <t>14.59</t>
  </si>
  <si>
    <t>Flexible de acero inoxidable c/roseta 19-25cm</t>
  </si>
  <si>
    <t>15.0</t>
  </si>
  <si>
    <t>INSTALACIÓN DE GAS</t>
  </si>
  <si>
    <t>Caño de hierro negro epoxi φ1/2" 6,4mts</t>
  </si>
  <si>
    <t>15.1</t>
  </si>
  <si>
    <t>Caño de hierro negro epoxi φ3/4" 6,4mts</t>
  </si>
  <si>
    <t>15.2</t>
  </si>
  <si>
    <t>Caño de hierro negro epoxi φ1" 6,4mts</t>
  </si>
  <si>
    <t>15.3</t>
  </si>
  <si>
    <t>Caño de hierro negro epoxi φ1 1/2" 6,4mts</t>
  </si>
  <si>
    <t>15.4</t>
  </si>
  <si>
    <t>Caño de hierro negro epoxi φ2" 6,4mts</t>
  </si>
  <si>
    <t>15.5</t>
  </si>
  <si>
    <t>Tubería de gas PE 80 SDR11 φ25mm</t>
  </si>
  <si>
    <t>ANSBOR</t>
  </si>
  <si>
    <t>15.6</t>
  </si>
  <si>
    <t>Tubería de gas PE 80 SDR11 φ63mm</t>
  </si>
  <si>
    <t>15.7</t>
  </si>
  <si>
    <t>Tubería de gas PE 80 SDR11 φ90mm</t>
  </si>
  <si>
    <t>15.8</t>
  </si>
  <si>
    <t>Codo epoxi MH 1"</t>
  </si>
  <si>
    <t>15.9</t>
  </si>
  <si>
    <t>Codo  epoxi MH 1/2"</t>
  </si>
  <si>
    <t>15.10</t>
  </si>
  <si>
    <t>Codo epoxi HH 1/2"</t>
  </si>
  <si>
    <t>15.11</t>
  </si>
  <si>
    <t>Unión doble epoxi 1/2"</t>
  </si>
  <si>
    <t>15.12</t>
  </si>
  <si>
    <t>Niple epoxi 3/4"</t>
  </si>
  <si>
    <t>15.13</t>
  </si>
  <si>
    <t>Llave de paso esférica 3/4</t>
  </si>
  <si>
    <t>15.14</t>
  </si>
  <si>
    <r>
      <t xml:space="preserve">Cupla EF </t>
    </r>
    <r>
      <rPr>
        <sz val="11"/>
        <color theme="1"/>
        <rFont val="Calibri"/>
        <family val="2"/>
      </rPr>
      <t>φ25</t>
    </r>
  </si>
  <si>
    <t>15.15</t>
  </si>
  <si>
    <r>
      <t xml:space="preserve">Cupla EF </t>
    </r>
    <r>
      <rPr>
        <sz val="11"/>
        <color theme="1"/>
        <rFont val="Calibri"/>
        <family val="2"/>
      </rPr>
      <t>φ63</t>
    </r>
  </si>
  <si>
    <t>15.16</t>
  </si>
  <si>
    <r>
      <t xml:space="preserve">Cupla EF </t>
    </r>
    <r>
      <rPr>
        <sz val="11"/>
        <color theme="1"/>
        <rFont val="Calibri"/>
        <family val="2"/>
      </rPr>
      <t>φ90</t>
    </r>
  </si>
  <si>
    <t>15.17</t>
  </si>
  <si>
    <t>Reducción EF 90x63</t>
  </si>
  <si>
    <t>15.18</t>
  </si>
  <si>
    <t>TE Normal EF 63mm</t>
  </si>
  <si>
    <t>15.19</t>
  </si>
  <si>
    <t>TE Normal EF 90mm</t>
  </si>
  <si>
    <t>15.20</t>
  </si>
  <si>
    <t>Tapa armada EF 63mm</t>
  </si>
  <si>
    <t>15.21</t>
  </si>
  <si>
    <t>Tapa armada EF 90mm</t>
  </si>
  <si>
    <t>15.22</t>
  </si>
  <si>
    <t>Válvula de servicio 63x25</t>
  </si>
  <si>
    <t>15.23</t>
  </si>
  <si>
    <t>Válvula de servicio 90x25</t>
  </si>
  <si>
    <t>15.24</t>
  </si>
  <si>
    <t>Codo 90º EF</t>
  </si>
  <si>
    <t>15.25</t>
  </si>
  <si>
    <t>15.26</t>
  </si>
  <si>
    <t>Codo 45º EF</t>
  </si>
  <si>
    <t>15.27</t>
  </si>
  <si>
    <t>Regulador 6 m3/h</t>
  </si>
  <si>
    <t>SIGAS</t>
  </si>
  <si>
    <t>15.28</t>
  </si>
  <si>
    <t>Gripper AC/PE 3/4x25</t>
  </si>
  <si>
    <t>15.29</t>
  </si>
  <si>
    <t>Puerta para nicho gas</t>
  </si>
  <si>
    <t>15.30</t>
  </si>
  <si>
    <t>Temotanque 80 Lts</t>
  </si>
  <si>
    <t>Javier Nestor Gallardo</t>
  </si>
  <si>
    <t>15.31</t>
  </si>
  <si>
    <t>Cocina 4 hornallas</t>
  </si>
  <si>
    <t>MARTIRI</t>
  </si>
  <si>
    <t>15.32</t>
  </si>
  <si>
    <t>Anafe 2 hornallas</t>
  </si>
  <si>
    <t>16.0</t>
  </si>
  <si>
    <t>INCENDIO</t>
  </si>
  <si>
    <t>16.1</t>
  </si>
  <si>
    <t>Extintor de anhídrido carbónico tipo ABC 5kg</t>
  </si>
  <si>
    <t>16.2</t>
  </si>
  <si>
    <t>Matafuego de CO2 5kg (inst eléctricas)</t>
  </si>
  <si>
    <t>16.3</t>
  </si>
  <si>
    <r>
      <t xml:space="preserve">Gabinete </t>
    </r>
    <r>
      <rPr>
        <sz val="11"/>
        <color theme="1"/>
        <rFont val="Calibri"/>
        <family val="2"/>
      </rPr>
      <t>φ64mm</t>
    </r>
    <r>
      <rPr>
        <sz val="11"/>
        <color theme="1"/>
        <rFont val="Calibri"/>
        <family val="2"/>
        <scheme val="minor"/>
      </rPr>
      <t xml:space="preserve"> c/manguera 20m y lanza 20m</t>
    </r>
  </si>
  <si>
    <t>LACAR</t>
  </si>
  <si>
    <t>16.4</t>
  </si>
  <si>
    <r>
      <t xml:space="preserve">Manguera fibra  de poliester 20m </t>
    </r>
    <r>
      <rPr>
        <sz val="11"/>
        <color theme="1"/>
        <rFont val="Calibri"/>
        <family val="2"/>
      </rPr>
      <t>φ45mm</t>
    </r>
  </si>
  <si>
    <t>16.5</t>
  </si>
  <si>
    <r>
      <t xml:space="preserve">Lanza con extremo de bronce </t>
    </r>
    <r>
      <rPr>
        <sz val="11"/>
        <color theme="1"/>
        <rFont val="Calibri"/>
        <family val="2"/>
      </rPr>
      <t>φ45mm</t>
    </r>
  </si>
  <si>
    <t>16.6</t>
  </si>
  <si>
    <r>
      <t xml:space="preserve">Válvula tipo teatro </t>
    </r>
    <r>
      <rPr>
        <sz val="11"/>
        <color theme="1"/>
        <rFont val="Calibri"/>
        <family val="2"/>
      </rPr>
      <t>φ63mm</t>
    </r>
  </si>
  <si>
    <t>DETECCIÓN Y EXTINCIÓN</t>
  </si>
  <si>
    <t>16.7</t>
  </si>
  <si>
    <t>Detector óptico de humo  tipo DC221</t>
  </si>
  <si>
    <t>KUGELtronic</t>
  </si>
  <si>
    <t>16.8</t>
  </si>
  <si>
    <t>Central de detección tipo CC208 p/8zonas</t>
  </si>
  <si>
    <t>16.9</t>
  </si>
  <si>
    <t>Central de extinción tipo CC206E p/6zonas c/2exti</t>
  </si>
  <si>
    <t>17.0</t>
  </si>
  <si>
    <t>CALEFACCIÓN</t>
  </si>
  <si>
    <t>17.1</t>
  </si>
  <si>
    <t>Caldera 52000 Kcal/h hierro fund. Provisión e inst.</t>
  </si>
  <si>
    <t>Calorías (Ing. Tilbe)</t>
  </si>
  <si>
    <t>17.2</t>
  </si>
  <si>
    <t>Caldera 50.000 Kcal/h a gas</t>
  </si>
  <si>
    <t>17.3</t>
  </si>
  <si>
    <t>Radiador aluminio c/accesorios. Provisión e inst.</t>
  </si>
  <si>
    <t>17.4</t>
  </si>
  <si>
    <t>Calefactor 2000 Kcal/h TB</t>
  </si>
  <si>
    <t>17.5</t>
  </si>
  <si>
    <t>Calefactor 5000 Kcal/h TB GN ISTILART</t>
  </si>
  <si>
    <t>17.6</t>
  </si>
  <si>
    <t>Calefactor 6000 Kcal/h TB GN Durando</t>
  </si>
  <si>
    <t>18.0</t>
  </si>
  <si>
    <t>18.1</t>
  </si>
  <si>
    <t>Gas oil</t>
  </si>
  <si>
    <t>YPF</t>
  </si>
  <si>
    <t>lt.</t>
  </si>
  <si>
    <t>Paredes y Cia. (Rivadavia 1104)</t>
  </si>
  <si>
    <t>Grupo electrógeno 250 KVA (S/flete ni inst.)</t>
  </si>
  <si>
    <t>Motores y repuestos SA</t>
  </si>
  <si>
    <t>Perforación 6" con encamizado de 4"</t>
  </si>
  <si>
    <t>ml.</t>
  </si>
  <si>
    <t>Brida WN DN 350(14") ANSI 300lb</t>
  </si>
  <si>
    <t>Tubos Renad SA (precios en dólares)</t>
  </si>
  <si>
    <t>Brida WN DN 450(18") ANSI 300lb</t>
  </si>
  <si>
    <t>Reducción acero 450-350 ANSI 300lb</t>
  </si>
  <si>
    <t>Tubo acero c/costura DN 18" Sch 40</t>
  </si>
  <si>
    <t>Codo para soldar STD DN 18"</t>
  </si>
  <si>
    <r>
      <t xml:space="preserve">Junta DRESSER de </t>
    </r>
    <r>
      <rPr>
        <sz val="11"/>
        <color theme="1"/>
        <rFont val="Calibri"/>
        <family val="2"/>
      </rPr>
      <t>φ</t>
    </r>
    <r>
      <rPr>
        <sz val="11"/>
        <color theme="1"/>
        <rFont val="Calibri"/>
        <family val="2"/>
        <scheme val="minor"/>
      </rPr>
      <t xml:space="preserve"> nominal 450mm Tipo 38</t>
    </r>
  </si>
  <si>
    <t>Dinatecnica (precios en dólares)</t>
  </si>
  <si>
    <t>Reemplazo Válvula KSB ISORIA 25 Diam 18"</t>
  </si>
  <si>
    <t>KSB (precios en dólares)</t>
  </si>
  <si>
    <t>Reemplzazo Válvula Duo check KSB S200 Diam 18"</t>
  </si>
  <si>
    <t>Junta tipo DRESSER φ450 Modelo 38T serie 300 PN20</t>
  </si>
  <si>
    <t>PYAT (precios en dólares)</t>
  </si>
  <si>
    <t>Válvula de retención Duo Check tipo Wafer DN450 PN25</t>
  </si>
  <si>
    <t>Válvula mariposa tipo Waffer DN 450 c/reductor motorizada ON/OFF Serie 300</t>
  </si>
  <si>
    <t>Espárragos 3/4" x 2 1/2" c/2 tuercas ASTM A193 B7</t>
  </si>
  <si>
    <t>Espárragos 1/2" x 1 1/2" c/2 tuercas ASTM A193 B7</t>
  </si>
  <si>
    <t>Agua Prueba Hidr.</t>
  </si>
  <si>
    <t>Tubo red cloacal 110x3,2x6 JE</t>
  </si>
  <si>
    <t>Tubo red cloacal 160x3,2x6 JE</t>
  </si>
  <si>
    <t>NICOLL</t>
  </si>
  <si>
    <t>Tubo red cloacal 200x4x6 JE</t>
  </si>
  <si>
    <t>Tubo red cloacal 250x4,9x6 JE</t>
  </si>
  <si>
    <t>Tubo red cloacal 355X7,0x6 JE</t>
  </si>
  <si>
    <t>Nicoll</t>
  </si>
  <si>
    <t>Ladrillo común</t>
  </si>
  <si>
    <t>Piedra</t>
  </si>
  <si>
    <t>Arena gruesa</t>
  </si>
  <si>
    <t>Cemento</t>
  </si>
  <si>
    <t>Acero</t>
  </si>
  <si>
    <t>UNIDAD</t>
  </si>
  <si>
    <t>Tubo red agua PEAD φ63 K10</t>
  </si>
  <si>
    <t>Tubo red agua PEAD  φ75 K10</t>
  </si>
  <si>
    <t>Tubo red agua PEAD  φ110 K10</t>
  </si>
  <si>
    <t>Tubo red agua PEAD  φ160 K10</t>
  </si>
  <si>
    <t>Hidrante a bola 75mm</t>
  </si>
  <si>
    <t>Camión c/caja volcadora</t>
  </si>
  <si>
    <t>Cañería PEAD K 10 75 mm</t>
  </si>
  <si>
    <t>Cañerías PEAD K 10 110 mm</t>
  </si>
  <si>
    <t>Codos, cuplas, Te, K10 110mm</t>
  </si>
  <si>
    <t>Codos, cuplas, Te, K10 75mm</t>
  </si>
  <si>
    <t>Cañerías PEAD K 10 160 mm</t>
  </si>
  <si>
    <t>Codos, cuplas, Te, PEAD K10 160mm</t>
  </si>
  <si>
    <t>Caja y tapa brasero</t>
  </si>
  <si>
    <t>VÁLVULAS</t>
  </si>
  <si>
    <t>HIDRANTES</t>
  </si>
  <si>
    <t xml:space="preserve">CAPTACIÓN </t>
  </si>
  <si>
    <t>Perforación 168mm c/encamisado</t>
  </si>
  <si>
    <t>Electrobomba s/PET</t>
  </si>
  <si>
    <t>Chapa</t>
  </si>
  <si>
    <t>Carpintería</t>
  </si>
  <si>
    <t>Tablero ppal</t>
  </si>
  <si>
    <t>gl</t>
  </si>
  <si>
    <t>Bomba Caudal:40m3/h, Altura manométrica: 110mca, Potencia 15HP</t>
  </si>
  <si>
    <t>Camión c/ caja volcadora</t>
  </si>
  <si>
    <t>Módulo de telemetría ELPRO, Wirelles I/O 905U-L-R</t>
  </si>
  <si>
    <t>Módulo de telemetría ELPRO, Wirelles I/O 905U-L-T</t>
  </si>
  <si>
    <t>Antena YAGUI 3 Elementos Modelo NYS03B89</t>
  </si>
  <si>
    <t>Descargador Conectores N hembra</t>
  </si>
  <si>
    <t>Lógica de control marca ABB, Modelo AC31 serie 40 07CR42</t>
  </si>
  <si>
    <t>Sensor de presión sumergible marca VEGA, modelo WL52.XXA4ATV1AAC1X</t>
  </si>
  <si>
    <t>Medición de nivel por ultrasonido Marca VEGA, modelo SN61.XXAGHKMX</t>
  </si>
  <si>
    <t>SISTEMA DE TELECOMANDO</t>
  </si>
  <si>
    <t>RED DE AGUA</t>
  </si>
  <si>
    <t>BOMBAS</t>
  </si>
  <si>
    <t>Jumper RGC58. Cable Foam bajas pérdidas. Longitud 1m</t>
  </si>
  <si>
    <t>Jumper RGC213. Cable Foam bajas pérdidas. Longitud 5m</t>
  </si>
  <si>
    <t>Valvula de Retencion 4" a bola, bridada</t>
  </si>
  <si>
    <t>Válvula de aire 2"</t>
  </si>
  <si>
    <t xml:space="preserve">Caudalímetro </t>
  </si>
  <si>
    <t>Válvulas mariposas</t>
  </si>
  <si>
    <t>Bridas, curvas, cuplas, etc.</t>
  </si>
  <si>
    <t>Excavación de zanja en terreno de cualquier categoría y Tapado y compactación</t>
  </si>
  <si>
    <t>Cañería PEAD K 12 160 mm</t>
  </si>
  <si>
    <t>Codos, cuplas, Te, K12 160mm</t>
  </si>
  <si>
    <t>Cañería PEAD K 10 180 mm</t>
  </si>
  <si>
    <t>Codos, cuplas, Te, K10 180mm</t>
  </si>
  <si>
    <t>Provisión y colocación de Cañería desde Captación a Cisternas (NEXO) diámetro 180mm K 10</t>
  </si>
  <si>
    <t>SISTEMA DE CLORACIÓN</t>
  </si>
  <si>
    <t>Tubo red agua PEAD  φ180 K10</t>
  </si>
  <si>
    <t>Tubo red agua PEAD  φ160 K12</t>
  </si>
  <si>
    <t>Ladrillo cerámico 18x18x33</t>
  </si>
  <si>
    <t>Chapa prepintada</t>
  </si>
  <si>
    <t>Carpinterías</t>
  </si>
  <si>
    <t>Cerámicos</t>
  </si>
  <si>
    <t>Tirantería y machimbre madera</t>
  </si>
  <si>
    <t>Pintura y terminaciones</t>
  </si>
  <si>
    <t>Conductores, tomas, llaves electricidad</t>
  </si>
  <si>
    <t>CISTERNA de Hormigón Armado 100 m³</t>
  </si>
  <si>
    <t>CISTERNA de Hormigón Armado 1000 m³</t>
  </si>
  <si>
    <t>Preparación del terreno y Movimiento de suelo</t>
  </si>
  <si>
    <t>Relleno seleccionado</t>
  </si>
  <si>
    <t>Rodillo vibrante</t>
  </si>
  <si>
    <t>Caño PVC ranurado</t>
  </si>
  <si>
    <t>Cuplas, codos, accesorios</t>
  </si>
  <si>
    <t>Hormigón de limpieza en asiento de fundaciones</t>
  </si>
  <si>
    <t>Arena para hormigón</t>
  </si>
  <si>
    <t>Agregado grueso para hormigón</t>
  </si>
  <si>
    <t>Alambre para atar</t>
  </si>
  <si>
    <t>Clavos 2 1/2"</t>
  </si>
  <si>
    <t>Madera para encofrado 1"</t>
  </si>
  <si>
    <t>Pintura epoxi</t>
  </si>
  <si>
    <t>Accesorios: pincel, rodillo, lija, etc</t>
  </si>
  <si>
    <t>lts</t>
  </si>
  <si>
    <t>Pintura latex exterior</t>
  </si>
  <si>
    <t>Membrana asfáltica</t>
  </si>
  <si>
    <t>Chapa 4mm</t>
  </si>
  <si>
    <t>Caño de acero</t>
  </si>
  <si>
    <t>Electrodo</t>
  </si>
  <si>
    <t>Antióxido</t>
  </si>
  <si>
    <t>Esmalte sintético</t>
  </si>
  <si>
    <t xml:space="preserve">Impermeabilización superior de losa </t>
  </si>
  <si>
    <t>Provisión y ejecución del Hormigón Armado H21</t>
  </si>
  <si>
    <t>Cañería hierro galvanizado</t>
  </si>
  <si>
    <t>Válvulas, codos, cuplas, accesorios</t>
  </si>
  <si>
    <t>Ladrillo macizo común</t>
  </si>
  <si>
    <t>Tapas de hierro</t>
  </si>
  <si>
    <t xml:space="preserve">Valvula esclusa ø 75 </t>
  </si>
  <si>
    <t>Valvula esclusa ø 110</t>
  </si>
  <si>
    <t>Valvula esclusa ø 160</t>
  </si>
  <si>
    <t>Cerco perimetral Captación o Perforaciones</t>
  </si>
  <si>
    <t>Alambre tejido romboidal</t>
  </si>
  <si>
    <t>Plachuela de acero</t>
  </si>
  <si>
    <t>Alambre</t>
  </si>
  <si>
    <t>Poste premoldeado</t>
  </si>
  <si>
    <t>Hierro TUBIN 3"</t>
  </si>
  <si>
    <t>Tubo estructural 30x30</t>
  </si>
  <si>
    <t>Malla electrosoldada Q216</t>
  </si>
  <si>
    <t>Herrajes y accesorios</t>
  </si>
  <si>
    <t>Prov. y coloc. cañerías PEAD K10 75 mm</t>
  </si>
  <si>
    <t>Válvula reguladora de presión  ø110 Modelo ANSI-125 marca BERMAD o similar</t>
  </si>
  <si>
    <t>Válvula de aire triple efecto de fundición dúctil ø75</t>
  </si>
  <si>
    <t>Hidrante a bola ø75mm</t>
  </si>
  <si>
    <t>RED CLOACAL</t>
  </si>
  <si>
    <r>
      <t xml:space="preserve">Caño cloacal polietileno corrugado </t>
    </r>
    <r>
      <rPr>
        <sz val="10"/>
        <rFont val="Calibri"/>
        <family val="2"/>
      </rPr>
      <t>φ</t>
    </r>
    <r>
      <rPr>
        <sz val="10"/>
        <rFont val="Arial"/>
        <family val="2"/>
      </rPr>
      <t>300mm</t>
    </r>
  </si>
  <si>
    <r>
      <t xml:space="preserve">Caño cloacal polietileno corrugado </t>
    </r>
    <r>
      <rPr>
        <sz val="10"/>
        <rFont val="Calibri"/>
        <family val="2"/>
      </rPr>
      <t>φ</t>
    </r>
    <r>
      <rPr>
        <sz val="10"/>
        <rFont val="Arial"/>
        <family val="2"/>
      </rPr>
      <t>400mm</t>
    </r>
  </si>
  <si>
    <t>Provisión y colocación de losa con marco y tapa de HºFº diámetro 600 mm tipo pesado</t>
  </si>
  <si>
    <t>Provisión y colocación de Bocas de registro de HºAº</t>
  </si>
  <si>
    <t>Provisión y colocación Bocas de registro   (tubos Khra electrofusión integrada)</t>
  </si>
  <si>
    <t>RED ELÉCTRICA</t>
  </si>
  <si>
    <t>Conductor subterráneo Cu 1,1 Kv 1x240mm2</t>
  </si>
  <si>
    <t>Luminaria Strand JC 250-AR 100</t>
  </si>
  <si>
    <t>Lámpara de sodio de alta presión de 100W</t>
  </si>
  <si>
    <t>Conductor de aluminio preensamblado 3X50+50</t>
  </si>
  <si>
    <t>Conductor de aluminio preensamblado 3X50+50+25</t>
  </si>
  <si>
    <t>Conductor de aluminio preensamblado 3X70+50+25</t>
  </si>
  <si>
    <t>Conductor de cobre preensamblado 2X4</t>
  </si>
  <si>
    <t>Estructura de retención de acero con brazo de alumbrado, con columna  T2-1372-8178 600/3</t>
  </si>
  <si>
    <t xml:space="preserve">Estructura de suspensión de acero con brazo de alumbrado, con columna  T2-1372-8178 200/3   </t>
  </si>
  <si>
    <t>Estructura de retención de acero recta, con columna T2-1370-8317 - 200/3 - 7,00 mts libre</t>
  </si>
  <si>
    <t>Estructura de retención de acero recta, con columna T2-1370-8317 - 600/3 - 7,00 mts libre</t>
  </si>
  <si>
    <t>Estacion Transformadora, centro compacto 400Kv - MINIBLOK</t>
  </si>
  <si>
    <t>Provisión y colocación de Válvula esclusa ø 160</t>
  </si>
  <si>
    <t>Provisión y colocación de Válvula esclusa ø 110</t>
  </si>
  <si>
    <t>Provisión y colocación de Válvula esclusa ø 75</t>
  </si>
  <si>
    <t>Provisión y colocación de Válvula de aire con cámara de material</t>
  </si>
  <si>
    <t>Provisión y colocación de Válvula de reguladora de presión con cámara de material y bay-pas</t>
  </si>
  <si>
    <t>Perforaciones, bomba Q=40 m³/hs a H=110m de 15 HP, caseta, alimentación eléctrica y tablero principal</t>
  </si>
  <si>
    <t>Válvulas de retención, válvulas de aire, caudalímetro y válvulas mariposa de operación.</t>
  </si>
  <si>
    <t>Provisión y colocación de Cañería desde Captación a Cisternas (NEXO) diámetro 160mm K 12</t>
  </si>
  <si>
    <t>Red eléctrica trifásica hasta caseta de cloración</t>
  </si>
  <si>
    <t>Acometida eléctrica 380V con medidor y gabinete</t>
  </si>
  <si>
    <t>Pintura látex para exterior color cemento</t>
  </si>
  <si>
    <t>Cañerías de Hierro Galvanizado, válvulas, accesorios y cámaras para la entrada, salida, by-pass, desborde y limpieza con sus cámaras de material y tapas de hierro.</t>
  </si>
  <si>
    <t>Portón metálico de 2 hojas</t>
  </si>
  <si>
    <t>Sistema de desagües cloacales</t>
  </si>
  <si>
    <t>Excavación y tapado de zanja para red de cloacal</t>
  </si>
  <si>
    <t>Provisión y colocación de cañería de PVCø 200mm</t>
  </si>
  <si>
    <t>Provisión y colocación de cañería de PVCø 160mm</t>
  </si>
  <si>
    <t>Provisión y colocación de Bocas de registro de Polietileno</t>
  </si>
  <si>
    <t>Provisión y colocación Cañería ø400mm (tubos Khra electrofusión integrada)</t>
  </si>
  <si>
    <t>Provisión y colocación Cañería ø315mm (tubos Khra electrofusión integrada)</t>
  </si>
  <si>
    <t>Nivelación y enripiado</t>
  </si>
  <si>
    <t>Excavación de zanja y tapado con protec mecánica</t>
  </si>
  <si>
    <t>ítem</t>
  </si>
  <si>
    <t>1.5.2</t>
  </si>
  <si>
    <t>Postes suspensión</t>
  </si>
  <si>
    <t>Conductores y accesorios</t>
  </si>
  <si>
    <t>Medidor</t>
  </si>
  <si>
    <t>Gabinete</t>
  </si>
  <si>
    <t>Interruptor termomagnético</t>
  </si>
  <si>
    <t>Disyuntor diferencial</t>
  </si>
  <si>
    <t>Tablero óptimo</t>
  </si>
  <si>
    <t>Sistema de control</t>
  </si>
  <si>
    <t>Sistema de arranque</t>
  </si>
  <si>
    <t>Puesta a tierra</t>
  </si>
  <si>
    <t>Conductores, borneras, etc</t>
  </si>
  <si>
    <t>Cisterna de polietileno de 3000 lts apta para cloro líquido</t>
  </si>
  <si>
    <t>Cisterna polietileno 3000Lts</t>
  </si>
  <si>
    <t>Válvulas, mangueras, accesorios</t>
  </si>
  <si>
    <t>Camión c/grúa</t>
  </si>
  <si>
    <t>Bomba dosificadora</t>
  </si>
  <si>
    <t>Mangueras, válvulas, accesorios</t>
  </si>
  <si>
    <t>Instalación eléctrica</t>
  </si>
  <si>
    <t>Caudalímetro</t>
  </si>
  <si>
    <t>Conecciones y accesorios</t>
  </si>
  <si>
    <t>Sensor de cloro</t>
  </si>
  <si>
    <t>Conexiones,accesorios</t>
  </si>
  <si>
    <t>Cañería PVC 200 mm</t>
  </si>
  <si>
    <t>Codos, cuplas, Te, PVC 200mm</t>
  </si>
  <si>
    <t>Boca de registro polietileno</t>
  </si>
  <si>
    <t>Accesorios PVC</t>
  </si>
  <si>
    <t>Placa vibradora</t>
  </si>
  <si>
    <t>Bomba de achique</t>
  </si>
  <si>
    <t>Tapa hierro fundido 600mm</t>
  </si>
  <si>
    <t>Codos, cuplas, Te, de 400mm</t>
  </si>
  <si>
    <r>
      <t xml:space="preserve">Cañería Polietileno corrugado </t>
    </r>
    <r>
      <rPr>
        <sz val="11"/>
        <rFont val="Calibri"/>
        <family val="2"/>
      </rPr>
      <t>φ315</t>
    </r>
  </si>
  <si>
    <t>Codos, cuplas, Te, de 315mm</t>
  </si>
  <si>
    <t>Accesorios p/conecciones</t>
  </si>
  <si>
    <t>Estacas</t>
  </si>
  <si>
    <t>Camión c Volcadora</t>
  </si>
  <si>
    <t>Rodillo Neumático</t>
  </si>
  <si>
    <t>Tractor</t>
  </si>
  <si>
    <t>Camion Regador</t>
  </si>
  <si>
    <t>Estacas y varios</t>
  </si>
  <si>
    <t>Suelo Granular seleccionado</t>
  </si>
  <si>
    <t>Movimiento de suelo - desmonte</t>
  </si>
  <si>
    <t>Mala advertencia</t>
  </si>
  <si>
    <t>Accesorios eléctricos</t>
  </si>
  <si>
    <t>Columna  T2-1372-8178 200/3</t>
  </si>
  <si>
    <t>Camión mixer</t>
  </si>
  <si>
    <t>Planta dosificadora de Hº</t>
  </si>
  <si>
    <t>Homigón para bases</t>
  </si>
  <si>
    <t xml:space="preserve">Columna  T2-1372-8178 600/3      </t>
  </si>
  <si>
    <t>Columna  T2-1370-8317 - 200/3</t>
  </si>
  <si>
    <t>Columna  T2-1370-8317 - 600/3</t>
  </si>
  <si>
    <t>Tubo red agua PEAD φ63 K10 6mts</t>
  </si>
  <si>
    <t>Tubo red agua PEAD  φ75 K10 6mts</t>
  </si>
  <si>
    <t>Tubo red agua PEAD  φ110 K10 6mts</t>
  </si>
  <si>
    <t>Tubo red agua PEAD  φ160 K10 6mts</t>
  </si>
  <si>
    <t>Tubo red agua PEAD  φ160 K12 6mts</t>
  </si>
  <si>
    <t>Tubo red agua PEAD  φ180 K10 6mts</t>
  </si>
  <si>
    <t xml:space="preserve">Válvula esclusa φ75 </t>
  </si>
  <si>
    <t>Válvula esclusa φ110</t>
  </si>
  <si>
    <t xml:space="preserve">Hidrante bola φ75 </t>
  </si>
  <si>
    <r>
      <t xml:space="preserve">Tubo red cloacal polietileno corrugado </t>
    </r>
    <r>
      <rPr>
        <sz val="11"/>
        <color theme="1"/>
        <rFont val="Calibri"/>
        <family val="2"/>
      </rPr>
      <t>φ400 6mts</t>
    </r>
  </si>
  <si>
    <t>Válv. esclusa Ø160</t>
  </si>
  <si>
    <t>Válv. esclusa Ø110</t>
  </si>
  <si>
    <t>Válv. esclusa Ø75</t>
  </si>
  <si>
    <r>
      <t xml:space="preserve">Válv. de aire </t>
    </r>
    <r>
      <rPr>
        <sz val="11"/>
        <rFont val="Calibri"/>
        <family val="2"/>
      </rPr>
      <t>φ75</t>
    </r>
  </si>
  <si>
    <r>
      <t xml:space="preserve">Válv. Reguladora de presión </t>
    </r>
    <r>
      <rPr>
        <sz val="11"/>
        <rFont val="Calibri"/>
        <family val="2"/>
      </rPr>
      <t>φ110</t>
    </r>
  </si>
  <si>
    <r>
      <t xml:space="preserve">Cañería Polietileno corrugado </t>
    </r>
    <r>
      <rPr>
        <sz val="10"/>
        <rFont val="Calibri"/>
        <family val="2"/>
      </rPr>
      <t>φ400</t>
    </r>
  </si>
  <si>
    <t>Cable subterráneo CU 15Kv 1x70</t>
  </si>
  <si>
    <t>Cables  subt. 1,1 Kv, 1x240 mm2</t>
  </si>
  <si>
    <t>Morseteria</t>
  </si>
  <si>
    <t>Cables preensamblados 3x50+50</t>
  </si>
  <si>
    <t xml:space="preserve">Provisión, tendido y montaje de conductor de cobre preensamblado, 2X4.                        </t>
  </si>
  <si>
    <t>Artefacto Strand JC 250-AR 100</t>
  </si>
  <si>
    <t>Lámpara de sodio</t>
  </si>
  <si>
    <t>TAREAS PREVIAS</t>
  </si>
  <si>
    <t>CALZADA</t>
  </si>
  <si>
    <t>MOVIMIENTO DE SUELOS</t>
  </si>
  <si>
    <t>CONDUCTORES</t>
  </si>
  <si>
    <t>SUBESTACIÓN TRANSFORMADORA</t>
  </si>
  <si>
    <t>ESTRUCTURA DE SOSTÉN</t>
  </si>
  <si>
    <t>LUMINARIAS</t>
  </si>
  <si>
    <t>MONTO</t>
  </si>
  <si>
    <t>Prov.y colocación cañerías PEAD K10 110 mm</t>
  </si>
  <si>
    <t>Prov.y colocación cañerías PEAD K10 160 mm</t>
  </si>
  <si>
    <t>Veda invernal</t>
  </si>
  <si>
    <t>Subestación transformadora</t>
  </si>
  <si>
    <t>Conductores, accesorios electricos</t>
  </si>
  <si>
    <t>Oferta/PO:</t>
  </si>
  <si>
    <t>Sistema de telecomando s/PET</t>
  </si>
  <si>
    <t>Grúa</t>
  </si>
  <si>
    <t>Cables preensamblados 2X4</t>
  </si>
  <si>
    <t>Cables preensamblados 3x50+50+25</t>
  </si>
  <si>
    <t>Cables preensamblados 3x70+50+25</t>
  </si>
  <si>
    <t>Prov y montaje de Estación Transformadora, centro compacto 500KVA - MINIBLOK</t>
  </si>
  <si>
    <t>CÓMPUTO Y PRESUPUESTO</t>
  </si>
  <si>
    <t>Conductor subterráneo Cu 15 Kv cat. II 1x70mm2</t>
  </si>
  <si>
    <t>Camión c/caja Volcadora</t>
  </si>
  <si>
    <t>Octubre 2013</t>
  </si>
  <si>
    <t>PLAN DE TRABAJOS Y CURVA DE INVERSIONES</t>
  </si>
</sst>
</file>

<file path=xl/styles.xml><?xml version="1.0" encoding="utf-8"?>
<styleSheet xmlns="http://schemas.openxmlformats.org/spreadsheetml/2006/main">
  <numFmts count="17">
    <numFmt numFmtId="44" formatCode="_ &quot;$&quot;\ * #,##0.00_ ;_ &quot;$&quot;\ * \-#,##0.00_ ;_ &quot;$&quot;\ * &quot;-&quot;??_ ;_ @_ "/>
    <numFmt numFmtId="164" formatCode="_-* #,##0.00_-;\-* #,##0.00_-;_-* &quot;-&quot;??_-;_-@_-"/>
    <numFmt numFmtId="165" formatCode="_ &quot;$&quot;\ * #,##0_ ;_ &quot;$&quot;\ * \-#,##0_ ;_ &quot;$&quot;\ * &quot;-&quot;??_ ;_ @_ "/>
    <numFmt numFmtId="166" formatCode="_(* #,##0.00_);_(* \(#,##0.00\);_(* &quot;-&quot;??_);_(@_)"/>
    <numFmt numFmtId="167" formatCode="&quot;$&quot;#,##0\ ;\(&quot;$&quot;#,##0\)"/>
    <numFmt numFmtId="168" formatCode="_(&quot;Ch$&quot;* #,##0_);_(&quot;Ch$&quot;* \(#,##0\);_(&quot;Ch$&quot;* &quot;-&quot;_);_(@_)"/>
    <numFmt numFmtId="169" formatCode="_(&quot;Ch$&quot;* #,##0.00_);_(&quot;Ch$&quot;* \(#,##0.00\);_(&quot;Ch$&quot;* &quot;-&quot;??_);_(@_)"/>
    <numFmt numFmtId="170" formatCode="&quot;$&quot;\ #,##0.00"/>
    <numFmt numFmtId="171" formatCode="_-&quot;$&quot;* #,##0_-;\-&quot;$&quot;* #,##0_-;_-&quot;$&quot;* &quot;-&quot;_-;_-@_-"/>
    <numFmt numFmtId="172" formatCode="0.000"/>
    <numFmt numFmtId="173" formatCode="_ [$$-2C0A]\ * #,##0.00_ ;_ [$$-2C0A]\ * \-#,##0.00_ ;_ [$$-2C0A]\ * &quot;-&quot;??_ ;_ @_ "/>
    <numFmt numFmtId="174" formatCode="0.0%"/>
    <numFmt numFmtId="175" formatCode="#,##0.0"/>
    <numFmt numFmtId="176" formatCode="&quot;$&quot;\ #,##0.000"/>
    <numFmt numFmtId="177" formatCode="#,##0.000_ ;\-#,##0.000\ "/>
    <numFmt numFmtId="178" formatCode="#,##0.00_ ;\-#,##0.00\ "/>
    <numFmt numFmtId="179" formatCode="#,##0_ ;\-#,##0\ 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Century Gothic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color indexed="10"/>
      <name val="Arial"/>
      <family val="2"/>
    </font>
    <font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4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1">
    <xf numFmtId="173" fontId="0" fillId="0" borderId="0"/>
    <xf numFmtId="173" fontId="6" fillId="0" borderId="0" applyNumberFormat="0" applyFill="0" applyBorder="0" applyAlignment="0" applyProtection="0"/>
    <xf numFmtId="173" fontId="7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" fontId="9" fillId="2" borderId="0" applyFont="0" applyAlignment="0"/>
    <xf numFmtId="173" fontId="4" fillId="3" borderId="1" applyFont="0" applyFill="0" applyBorder="0" applyAlignment="0" applyProtection="0"/>
    <xf numFmtId="173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1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5" fillId="0" borderId="0"/>
    <xf numFmtId="3" fontId="11" fillId="2" borderId="0" applyFill="0" applyProtection="0">
      <alignment horizontal="right"/>
    </xf>
    <xf numFmtId="3" fontId="12" fillId="2" borderId="0" applyFill="0" applyBorder="0" applyAlignment="0" applyProtection="0">
      <alignment horizontal="left"/>
      <protection locked="0"/>
    </xf>
    <xf numFmtId="9" fontId="14" fillId="0" borderId="0" applyFont="0" applyFill="0" applyBorder="0" applyAlignment="0" applyProtection="0"/>
    <xf numFmtId="3" fontId="10" fillId="0" borderId="0" applyFont="0" applyFill="0" applyBorder="0" applyAlignment="0" applyProtection="0"/>
    <xf numFmtId="173" fontId="10" fillId="0" borderId="2" applyNumberFormat="0" applyFont="0" applyFill="0" applyAlignment="0" applyProtection="0"/>
    <xf numFmtId="173" fontId="18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73" fontId="13" fillId="0" borderId="0"/>
    <xf numFmtId="171" fontId="13" fillId="0" borderId="0" applyFont="0" applyFill="0" applyBorder="0" applyAlignment="0" applyProtection="0"/>
    <xf numFmtId="173" fontId="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3" fontId="13" fillId="0" borderId="0"/>
    <xf numFmtId="9" fontId="13" fillId="0" borderId="0" applyFont="0" applyFill="0" applyBorder="0" applyAlignment="0" applyProtection="0"/>
    <xf numFmtId="173" fontId="3" fillId="0" borderId="0"/>
  </cellStyleXfs>
  <cellXfs count="646">
    <xf numFmtId="173" fontId="0" fillId="0" borderId="0" xfId="0"/>
    <xf numFmtId="173" fontId="13" fillId="0" borderId="0" xfId="0" applyFont="1" applyAlignment="1">
      <alignment vertical="center"/>
    </xf>
    <xf numFmtId="173" fontId="16" fillId="0" borderId="0" xfId="0" applyFont="1" applyAlignment="1">
      <alignment vertical="center"/>
    </xf>
    <xf numFmtId="173" fontId="0" fillId="0" borderId="0" xfId="0" applyAlignment="1">
      <alignment vertical="center"/>
    </xf>
    <xf numFmtId="173" fontId="16" fillId="0" borderId="0" xfId="0" applyFont="1" applyBorder="1" applyAlignment="1">
      <alignment vertical="center"/>
    </xf>
    <xf numFmtId="173" fontId="17" fillId="0" borderId="0" xfId="0" applyFont="1" applyBorder="1" applyAlignment="1">
      <alignment vertical="center" wrapText="1"/>
    </xf>
    <xf numFmtId="173" fontId="17" fillId="0" borderId="0" xfId="0" applyFont="1" applyFill="1" applyBorder="1" applyAlignment="1">
      <alignment vertical="center"/>
    </xf>
    <xf numFmtId="173" fontId="17" fillId="0" borderId="0" xfId="0" applyFont="1" applyFill="1" applyBorder="1" applyAlignment="1">
      <alignment horizontal="right" vertical="center"/>
    </xf>
    <xf numFmtId="14" fontId="17" fillId="0" borderId="0" xfId="0" applyNumberFormat="1" applyFont="1" applyFill="1" applyBorder="1" applyAlignment="1">
      <alignment horizontal="center" vertical="center"/>
    </xf>
    <xf numFmtId="173" fontId="17" fillId="0" borderId="0" xfId="0" applyFont="1" applyFill="1" applyBorder="1" applyAlignment="1">
      <alignment vertical="center" wrapText="1"/>
    </xf>
    <xf numFmtId="173" fontId="17" fillId="0" borderId="8" xfId="0" applyFont="1" applyBorder="1" applyAlignment="1">
      <alignment vertical="center" wrapText="1"/>
    </xf>
    <xf numFmtId="173" fontId="16" fillId="0" borderId="1" xfId="0" applyFont="1" applyBorder="1" applyAlignment="1">
      <alignment horizontal="center" vertical="center" wrapText="1"/>
    </xf>
    <xf numFmtId="173" fontId="16" fillId="0" borderId="3" xfId="0" applyFont="1" applyBorder="1" applyAlignment="1">
      <alignment horizontal="center" vertical="center" wrapText="1"/>
    </xf>
    <xf numFmtId="173" fontId="16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73" fontId="17" fillId="0" borderId="0" xfId="0" applyFont="1" applyAlignment="1">
      <alignment vertical="center" wrapText="1"/>
    </xf>
    <xf numFmtId="173" fontId="17" fillId="0" borderId="0" xfId="0" applyFont="1" applyAlignment="1">
      <alignment vertical="center" wrapText="1"/>
    </xf>
    <xf numFmtId="173" fontId="16" fillId="0" borderId="1" xfId="0" applyFont="1" applyBorder="1" applyAlignment="1">
      <alignment horizontal="left" vertical="center"/>
    </xf>
    <xf numFmtId="170" fontId="16" fillId="0" borderId="3" xfId="0" applyNumberFormat="1" applyFont="1" applyBorder="1" applyAlignment="1">
      <alignment horizontal="center" vertical="center" wrapText="1"/>
    </xf>
    <xf numFmtId="173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173" fontId="17" fillId="0" borderId="0" xfId="0" applyFont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173" fontId="16" fillId="0" borderId="0" xfId="0" applyFont="1" applyFill="1" applyBorder="1" applyAlignment="1">
      <alignment vertical="center"/>
    </xf>
    <xf numFmtId="173" fontId="17" fillId="0" borderId="7" xfId="0" applyFont="1" applyBorder="1" applyAlignment="1">
      <alignment vertical="center" wrapText="1"/>
    </xf>
    <xf numFmtId="173" fontId="17" fillId="0" borderId="10" xfId="0" applyFont="1" applyBorder="1" applyAlignment="1">
      <alignment vertical="center" wrapText="1"/>
    </xf>
    <xf numFmtId="173" fontId="17" fillId="0" borderId="6" xfId="0" applyFont="1" applyFill="1" applyBorder="1" applyAlignment="1">
      <alignment horizontal="left" vertical="center"/>
    </xf>
    <xf numFmtId="173" fontId="17" fillId="0" borderId="6" xfId="0" applyFont="1" applyFill="1" applyBorder="1" applyAlignment="1">
      <alignment vertical="center" wrapText="1"/>
    </xf>
    <xf numFmtId="173" fontId="17" fillId="0" borderId="13" xfId="0" applyFont="1" applyBorder="1" applyAlignment="1">
      <alignment vertical="center" wrapText="1"/>
    </xf>
    <xf numFmtId="173" fontId="17" fillId="0" borderId="0" xfId="0" applyFont="1" applyFill="1" applyBorder="1" applyAlignment="1">
      <alignment horizontal="left" vertical="top" wrapText="1"/>
    </xf>
    <xf numFmtId="173" fontId="17" fillId="5" borderId="1" xfId="0" applyFont="1" applyFill="1" applyBorder="1" applyAlignment="1">
      <alignment horizontal="center" vertical="center" wrapText="1"/>
    </xf>
    <xf numFmtId="173" fontId="16" fillId="0" borderId="0" xfId="23" applyFont="1" applyAlignment="1">
      <alignment vertical="center"/>
    </xf>
    <xf numFmtId="173" fontId="16" fillId="0" borderId="0" xfId="23" applyFont="1" applyAlignment="1">
      <alignment horizontal="center" vertical="center"/>
    </xf>
    <xf numFmtId="173" fontId="13" fillId="0" borderId="0" xfId="23" applyFont="1" applyAlignment="1">
      <alignment vertical="center"/>
    </xf>
    <xf numFmtId="173" fontId="13" fillId="0" borderId="0" xfId="23" applyAlignment="1">
      <alignment vertical="center"/>
    </xf>
    <xf numFmtId="173" fontId="17" fillId="0" borderId="0" xfId="23" applyFont="1" applyFill="1" applyBorder="1" applyAlignment="1">
      <alignment horizontal="center" vertical="center" wrapText="1"/>
    </xf>
    <xf numFmtId="173" fontId="16" fillId="0" borderId="0" xfId="23" applyFont="1" applyFill="1" applyBorder="1" applyAlignment="1">
      <alignment vertical="top" wrapText="1"/>
    </xf>
    <xf numFmtId="173" fontId="16" fillId="0" borderId="17" xfId="23" applyFont="1" applyBorder="1"/>
    <xf numFmtId="173" fontId="16" fillId="0" borderId="0" xfId="23" applyFont="1" applyBorder="1"/>
    <xf numFmtId="49" fontId="16" fillId="0" borderId="0" xfId="23" applyNumberFormat="1" applyFont="1" applyFill="1" applyBorder="1" applyAlignment="1">
      <alignment horizontal="center" vertical="center" wrapText="1"/>
    </xf>
    <xf numFmtId="49" fontId="16" fillId="0" borderId="0" xfId="23" applyNumberFormat="1" applyFont="1" applyFill="1" applyBorder="1" applyAlignment="1">
      <alignment horizontal="right" vertical="center" wrapText="1"/>
    </xf>
    <xf numFmtId="10" fontId="16" fillId="0" borderId="0" xfId="23" applyNumberFormat="1" applyFont="1" applyFill="1" applyBorder="1" applyAlignment="1">
      <alignment horizontal="center" vertical="center" wrapText="1"/>
    </xf>
    <xf numFmtId="173" fontId="16" fillId="0" borderId="0" xfId="23" applyFont="1" applyFill="1" applyBorder="1" applyAlignment="1">
      <alignment vertical="center" wrapText="1"/>
    </xf>
    <xf numFmtId="170" fontId="17" fillId="0" borderId="0" xfId="23" applyNumberFormat="1" applyFont="1" applyFill="1" applyBorder="1" applyAlignment="1">
      <alignment horizontal="right" vertical="center" wrapText="1"/>
    </xf>
    <xf numFmtId="170" fontId="16" fillId="0" borderId="0" xfId="23" applyNumberFormat="1" applyFont="1" applyFill="1" applyBorder="1" applyAlignment="1">
      <alignment horizontal="center" vertical="center" wrapText="1"/>
    </xf>
    <xf numFmtId="173" fontId="13" fillId="0" borderId="0" xfId="23" applyFill="1" applyBorder="1" applyAlignment="1">
      <alignment vertical="center"/>
    </xf>
    <xf numFmtId="173" fontId="13" fillId="0" borderId="0" xfId="23" applyFill="1" applyBorder="1" applyAlignment="1">
      <alignment horizontal="center" vertical="center"/>
    </xf>
    <xf numFmtId="173" fontId="13" fillId="0" borderId="0" xfId="23" applyBorder="1" applyAlignment="1">
      <alignment vertical="center"/>
    </xf>
    <xf numFmtId="173" fontId="13" fillId="0" borderId="0" xfId="23" applyBorder="1" applyAlignment="1">
      <alignment horizontal="center" vertical="center"/>
    </xf>
    <xf numFmtId="173" fontId="20" fillId="0" borderId="0" xfId="23" applyFont="1" applyBorder="1" applyAlignment="1">
      <alignment horizontal="center" vertical="center"/>
    </xf>
    <xf numFmtId="173" fontId="21" fillId="0" borderId="0" xfId="23" applyFont="1" applyBorder="1" applyAlignment="1">
      <alignment vertical="center"/>
    </xf>
    <xf numFmtId="173" fontId="13" fillId="0" borderId="0" xfId="23" applyAlignment="1">
      <alignment horizontal="center" vertical="center"/>
    </xf>
    <xf numFmtId="173" fontId="17" fillId="0" borderId="0" xfId="23" applyFont="1" applyAlignment="1">
      <alignment horizontal="center" vertical="center"/>
    </xf>
    <xf numFmtId="173" fontId="16" fillId="0" borderId="7" xfId="23" applyFont="1" applyBorder="1" applyAlignment="1">
      <alignment vertical="center"/>
    </xf>
    <xf numFmtId="173" fontId="16" fillId="0" borderId="10" xfId="23" applyFont="1" applyBorder="1" applyAlignment="1">
      <alignment vertical="center"/>
    </xf>
    <xf numFmtId="173" fontId="17" fillId="0" borderId="11" xfId="23" applyFont="1" applyBorder="1" applyAlignment="1">
      <alignment horizontal="center" vertical="center"/>
    </xf>
    <xf numFmtId="173" fontId="17" fillId="0" borderId="6" xfId="28" applyFont="1" applyFill="1" applyBorder="1" applyAlignment="1">
      <alignment horizontal="left" vertical="center"/>
    </xf>
    <xf numFmtId="173" fontId="17" fillId="0" borderId="0" xfId="28" applyFont="1" applyFill="1" applyBorder="1" applyAlignment="1">
      <alignment horizontal="left" vertical="center"/>
    </xf>
    <xf numFmtId="173" fontId="17" fillId="0" borderId="12" xfId="28" applyFont="1" applyFill="1" applyBorder="1" applyAlignment="1">
      <alignment horizontal="left" vertical="center"/>
    </xf>
    <xf numFmtId="173" fontId="17" fillId="0" borderId="6" xfId="28" applyFont="1" applyFill="1" applyBorder="1" applyAlignment="1">
      <alignment vertical="center" wrapText="1"/>
    </xf>
    <xf numFmtId="173" fontId="17" fillId="0" borderId="0" xfId="28" applyFont="1" applyFill="1" applyBorder="1" applyAlignment="1">
      <alignment vertical="center" wrapText="1"/>
    </xf>
    <xf numFmtId="173" fontId="17" fillId="0" borderId="0" xfId="28" applyFont="1" applyFill="1" applyBorder="1" applyAlignment="1">
      <alignment horizontal="center" vertical="center" wrapText="1"/>
    </xf>
    <xf numFmtId="173" fontId="16" fillId="0" borderId="0" xfId="23" applyFont="1" applyBorder="1" applyAlignment="1">
      <alignment vertical="center"/>
    </xf>
    <xf numFmtId="173" fontId="17" fillId="0" borderId="12" xfId="23" applyFont="1" applyBorder="1" applyAlignment="1">
      <alignment horizontal="center" vertical="center"/>
    </xf>
    <xf numFmtId="173" fontId="17" fillId="0" borderId="6" xfId="28" applyFont="1" applyFill="1" applyBorder="1" applyAlignment="1">
      <alignment vertical="center"/>
    </xf>
    <xf numFmtId="173" fontId="17" fillId="0" borderId="0" xfId="28" applyFont="1" applyFill="1" applyBorder="1" applyAlignment="1">
      <alignment vertical="center"/>
    </xf>
    <xf numFmtId="173" fontId="16" fillId="0" borderId="12" xfId="23" applyFont="1" applyFill="1" applyBorder="1"/>
    <xf numFmtId="173" fontId="16" fillId="0" borderId="13" xfId="23" applyFont="1" applyBorder="1" applyAlignment="1">
      <alignment vertical="center"/>
    </xf>
    <xf numFmtId="173" fontId="16" fillId="0" borderId="8" xfId="23" applyFont="1" applyBorder="1" applyAlignment="1">
      <alignment vertical="center"/>
    </xf>
    <xf numFmtId="173" fontId="17" fillId="0" borderId="14" xfId="23" applyFont="1" applyBorder="1" applyAlignment="1">
      <alignment horizontal="center" vertical="center"/>
    </xf>
    <xf numFmtId="173" fontId="13" fillId="0" borderId="0" xfId="23"/>
    <xf numFmtId="173" fontId="16" fillId="0" borderId="0" xfId="23" applyFont="1"/>
    <xf numFmtId="173" fontId="17" fillId="7" borderId="15" xfId="23" applyFont="1" applyFill="1" applyBorder="1" applyAlignment="1">
      <alignment horizontal="center"/>
    </xf>
    <xf numFmtId="173" fontId="17" fillId="7" borderId="16" xfId="23" applyFont="1" applyFill="1" applyBorder="1" applyAlignment="1">
      <alignment horizontal="center"/>
    </xf>
    <xf numFmtId="173" fontId="16" fillId="6" borderId="3" xfId="23" applyFont="1" applyFill="1" applyBorder="1" applyAlignment="1">
      <alignment vertical="center"/>
    </xf>
    <xf numFmtId="173" fontId="16" fillId="7" borderId="1" xfId="23" applyFont="1" applyFill="1" applyBorder="1" applyAlignment="1">
      <alignment horizontal="center" vertical="center"/>
    </xf>
    <xf numFmtId="173" fontId="16" fillId="7" borderId="5" xfId="23" applyFont="1" applyFill="1" applyBorder="1" applyAlignment="1">
      <alignment horizontal="center" vertical="center"/>
    </xf>
    <xf numFmtId="173" fontId="16" fillId="6" borderId="6" xfId="23" applyFont="1" applyFill="1" applyBorder="1" applyAlignment="1">
      <alignment vertical="center"/>
    </xf>
    <xf numFmtId="173" fontId="16" fillId="7" borderId="16" xfId="23" applyFont="1" applyFill="1" applyBorder="1" applyAlignment="1">
      <alignment horizontal="center" vertical="center"/>
    </xf>
    <xf numFmtId="173" fontId="16" fillId="7" borderId="0" xfId="23" applyFont="1" applyFill="1" applyBorder="1" applyAlignment="1">
      <alignment horizontal="center" vertical="center"/>
    </xf>
    <xf numFmtId="49" fontId="17" fillId="6" borderId="13" xfId="23" applyNumberFormat="1" applyFont="1" applyFill="1" applyBorder="1" applyAlignment="1">
      <alignment horizontal="center" vertical="center"/>
    </xf>
    <xf numFmtId="49" fontId="17" fillId="7" borderId="17" xfId="23" applyNumberFormat="1" applyFont="1" applyFill="1" applyBorder="1" applyAlignment="1">
      <alignment horizontal="center" vertical="center"/>
    </xf>
    <xf numFmtId="49" fontId="17" fillId="7" borderId="8" xfId="23" applyNumberFormat="1" applyFont="1" applyFill="1" applyBorder="1" applyAlignment="1">
      <alignment horizontal="center" vertical="center"/>
    </xf>
    <xf numFmtId="170" fontId="16" fillId="5" borderId="16" xfId="24" applyNumberFormat="1" applyFont="1" applyFill="1" applyBorder="1" applyAlignment="1">
      <alignment horizontal="center" vertical="center"/>
    </xf>
    <xf numFmtId="170" fontId="16" fillId="0" borderId="16" xfId="24" applyNumberFormat="1" applyFont="1" applyBorder="1" applyAlignment="1">
      <alignment horizontal="center" vertical="center"/>
    </xf>
    <xf numFmtId="170" fontId="16" fillId="0" borderId="0" xfId="24" applyNumberFormat="1" applyFont="1" applyBorder="1" applyAlignment="1">
      <alignment horizontal="center" vertical="center"/>
    </xf>
    <xf numFmtId="170" fontId="16" fillId="0" borderId="15" xfId="24" applyNumberFormat="1" applyFont="1" applyBorder="1" applyAlignment="1">
      <alignment horizontal="center" vertical="center"/>
    </xf>
    <xf numFmtId="170" fontId="17" fillId="0" borderId="15" xfId="23" applyNumberFormat="1" applyFont="1" applyBorder="1" applyAlignment="1">
      <alignment horizontal="center" vertical="center"/>
    </xf>
    <xf numFmtId="173" fontId="16" fillId="0" borderId="6" xfId="23" applyFont="1" applyBorder="1" applyAlignment="1">
      <alignment vertical="center"/>
    </xf>
    <xf numFmtId="170" fontId="17" fillId="0" borderId="16" xfId="23" applyNumberFormat="1" applyFont="1" applyBorder="1" applyAlignment="1">
      <alignment horizontal="center" vertical="center"/>
    </xf>
    <xf numFmtId="170" fontId="16" fillId="5" borderId="17" xfId="24" applyNumberFormat="1" applyFont="1" applyFill="1" applyBorder="1" applyAlignment="1">
      <alignment horizontal="center" vertical="center"/>
    </xf>
    <xf numFmtId="170" fontId="16" fillId="0" borderId="17" xfId="24" applyNumberFormat="1" applyFont="1" applyBorder="1" applyAlignment="1">
      <alignment horizontal="center" vertical="center"/>
    </xf>
    <xf numFmtId="170" fontId="16" fillId="0" borderId="8" xfId="24" applyNumberFormat="1" applyFont="1" applyBorder="1" applyAlignment="1">
      <alignment horizontal="center" vertical="center"/>
    </xf>
    <xf numFmtId="170" fontId="17" fillId="0" borderId="17" xfId="23" applyNumberFormat="1" applyFont="1" applyBorder="1" applyAlignment="1">
      <alignment horizontal="center" vertical="center"/>
    </xf>
    <xf numFmtId="173" fontId="16" fillId="0" borderId="0" xfId="23" applyFont="1" applyBorder="1" applyAlignment="1">
      <alignment horizontal="center" vertical="center"/>
    </xf>
    <xf numFmtId="2" fontId="16" fillId="0" borderId="0" xfId="23" applyNumberFormat="1" applyFont="1" applyBorder="1" applyAlignment="1">
      <alignment horizontal="center" vertical="center"/>
    </xf>
    <xf numFmtId="173" fontId="22" fillId="0" borderId="0" xfId="23" applyFont="1" applyFill="1"/>
    <xf numFmtId="173" fontId="22" fillId="0" borderId="0" xfId="23" applyFont="1" applyFill="1" applyAlignment="1">
      <alignment horizontal="center"/>
    </xf>
    <xf numFmtId="173" fontId="23" fillId="0" borderId="0" xfId="23" applyFont="1" applyAlignment="1">
      <alignment horizontal="center" vertical="center"/>
    </xf>
    <xf numFmtId="173" fontId="22" fillId="0" borderId="10" xfId="23" applyFont="1" applyFill="1" applyBorder="1"/>
    <xf numFmtId="173" fontId="22" fillId="0" borderId="10" xfId="23" applyFont="1" applyFill="1" applyBorder="1" applyAlignment="1">
      <alignment horizontal="center"/>
    </xf>
    <xf numFmtId="173" fontId="22" fillId="0" borderId="11" xfId="23" applyFont="1" applyFill="1" applyBorder="1"/>
    <xf numFmtId="173" fontId="22" fillId="0" borderId="0" xfId="23" applyFont="1" applyFill="1" applyBorder="1"/>
    <xf numFmtId="173" fontId="22" fillId="0" borderId="0" xfId="23" applyFont="1" applyFill="1" applyBorder="1" applyAlignment="1">
      <alignment horizontal="center"/>
    </xf>
    <xf numFmtId="173" fontId="22" fillId="0" borderId="12" xfId="23" applyFont="1" applyFill="1" applyBorder="1"/>
    <xf numFmtId="173" fontId="16" fillId="0" borderId="0" xfId="23" applyFont="1" applyBorder="1" applyAlignment="1">
      <alignment horizontal="right" vertical="center"/>
    </xf>
    <xf numFmtId="173" fontId="16" fillId="0" borderId="8" xfId="23" applyFont="1" applyBorder="1" applyAlignment="1">
      <alignment horizontal="right" vertical="center"/>
    </xf>
    <xf numFmtId="173" fontId="22" fillId="0" borderId="8" xfId="23" applyFont="1" applyFill="1" applyBorder="1"/>
    <xf numFmtId="173" fontId="22" fillId="0" borderId="8" xfId="23" applyFont="1" applyFill="1" applyBorder="1" applyAlignment="1">
      <alignment horizontal="center"/>
    </xf>
    <xf numFmtId="173" fontId="22" fillId="0" borderId="14" xfId="23" applyFont="1" applyFill="1" applyBorder="1"/>
    <xf numFmtId="173" fontId="24" fillId="0" borderId="0" xfId="23" applyFont="1" applyFill="1" applyAlignment="1">
      <alignment horizontal="right"/>
    </xf>
    <xf numFmtId="173" fontId="24" fillId="5" borderId="0" xfId="23" applyFont="1" applyFill="1"/>
    <xf numFmtId="173" fontId="24" fillId="0" borderId="0" xfId="23" applyFont="1" applyFill="1"/>
    <xf numFmtId="173" fontId="21" fillId="7" borderId="10" xfId="23" applyFont="1" applyFill="1" applyBorder="1" applyAlignment="1">
      <alignment horizontal="center" vertical="center"/>
    </xf>
    <xf numFmtId="173" fontId="21" fillId="7" borderId="7" xfId="23" applyFont="1" applyFill="1" applyBorder="1" applyAlignment="1">
      <alignment horizontal="center" vertical="center"/>
    </xf>
    <xf numFmtId="173" fontId="21" fillId="7" borderId="15" xfId="23" applyFont="1" applyFill="1" applyBorder="1" applyAlignment="1">
      <alignment horizontal="center" vertical="center"/>
    </xf>
    <xf numFmtId="173" fontId="20" fillId="7" borderId="15" xfId="23" applyFont="1" applyFill="1" applyBorder="1" applyAlignment="1">
      <alignment horizontal="center" vertical="center"/>
    </xf>
    <xf numFmtId="173" fontId="20" fillId="7" borderId="17" xfId="23" applyFont="1" applyFill="1" applyBorder="1" applyAlignment="1">
      <alignment horizontal="center"/>
    </xf>
    <xf numFmtId="173" fontId="20" fillId="7" borderId="8" xfId="23" applyFont="1" applyFill="1" applyBorder="1" applyAlignment="1">
      <alignment horizontal="center"/>
    </xf>
    <xf numFmtId="173" fontId="20" fillId="7" borderId="13" xfId="23" applyFont="1" applyFill="1" applyBorder="1" applyAlignment="1">
      <alignment horizontal="center"/>
    </xf>
    <xf numFmtId="49" fontId="25" fillId="6" borderId="1" xfId="23" applyNumberFormat="1" applyFont="1" applyFill="1" applyBorder="1" applyAlignment="1">
      <alignment horizontal="center" vertical="center"/>
    </xf>
    <xf numFmtId="173" fontId="13" fillId="0" borderId="0" xfId="23" applyFont="1" applyFill="1"/>
    <xf numFmtId="173" fontId="20" fillId="0" borderId="1" xfId="28" applyFont="1" applyFill="1" applyBorder="1" applyAlignment="1">
      <alignment horizontal="center" vertical="center"/>
    </xf>
    <xf numFmtId="173" fontId="20" fillId="0" borderId="1" xfId="28" applyFont="1" applyFill="1" applyBorder="1" applyAlignment="1">
      <alignment vertical="center"/>
    </xf>
    <xf numFmtId="2" fontId="20" fillId="0" borderId="1" xfId="28" applyNumberFormat="1" applyFont="1" applyFill="1" applyBorder="1" applyAlignment="1">
      <alignment horizontal="center" vertical="center"/>
    </xf>
    <xf numFmtId="172" fontId="20" fillId="0" borderId="1" xfId="28" applyNumberFormat="1" applyFont="1" applyFill="1" applyBorder="1" applyAlignment="1">
      <alignment horizontal="center" vertical="center"/>
    </xf>
    <xf numFmtId="2" fontId="20" fillId="0" borderId="1" xfId="23" applyNumberFormat="1" applyFont="1" applyFill="1" applyBorder="1" applyAlignment="1">
      <alignment horizontal="center" vertical="center"/>
    </xf>
    <xf numFmtId="173" fontId="21" fillId="0" borderId="0" xfId="23" applyFont="1" applyFill="1" applyAlignment="1">
      <alignment vertical="center"/>
    </xf>
    <xf numFmtId="2" fontId="20" fillId="0" borderId="1" xfId="28" applyNumberFormat="1" applyFont="1" applyFill="1" applyBorder="1" applyAlignment="1">
      <alignment vertical="center"/>
    </xf>
    <xf numFmtId="173" fontId="26" fillId="0" borderId="1" xfId="28" applyFont="1" applyFill="1" applyBorder="1" applyAlignment="1">
      <alignment vertical="center"/>
    </xf>
    <xf numFmtId="2" fontId="26" fillId="0" borderId="1" xfId="28" applyNumberFormat="1" applyFont="1" applyFill="1" applyBorder="1" applyAlignment="1">
      <alignment horizontal="center" vertical="center"/>
    </xf>
    <xf numFmtId="172" fontId="26" fillId="0" borderId="1" xfId="28" applyNumberFormat="1" applyFont="1" applyFill="1" applyBorder="1" applyAlignment="1">
      <alignment horizontal="center" vertical="center"/>
    </xf>
    <xf numFmtId="173" fontId="22" fillId="0" borderId="0" xfId="23" applyFont="1" applyFill="1" applyAlignment="1">
      <alignment vertical="center"/>
    </xf>
    <xf numFmtId="173" fontId="20" fillId="0" borderId="0" xfId="28" applyFont="1" applyFill="1" applyBorder="1" applyAlignment="1">
      <alignment horizontal="center" vertical="center"/>
    </xf>
    <xf numFmtId="2" fontId="20" fillId="0" borderId="0" xfId="28" applyNumberFormat="1" applyFont="1" applyFill="1" applyBorder="1" applyAlignment="1">
      <alignment vertical="center"/>
    </xf>
    <xf numFmtId="173" fontId="20" fillId="0" borderId="0" xfId="28" applyFont="1" applyFill="1" applyBorder="1" applyAlignment="1">
      <alignment vertical="center"/>
    </xf>
    <xf numFmtId="2" fontId="20" fillId="0" borderId="0" xfId="28" applyNumberFormat="1" applyFont="1" applyFill="1" applyBorder="1" applyAlignment="1">
      <alignment horizontal="center" vertical="center"/>
    </xf>
    <xf numFmtId="172" fontId="20" fillId="0" borderId="0" xfId="28" applyNumberFormat="1" applyFont="1" applyFill="1" applyBorder="1" applyAlignment="1">
      <alignment horizontal="center" vertical="center"/>
    </xf>
    <xf numFmtId="2" fontId="20" fillId="0" borderId="0" xfId="23" applyNumberFormat="1" applyFont="1" applyFill="1" applyBorder="1" applyAlignment="1">
      <alignment horizontal="center" vertical="center"/>
    </xf>
    <xf numFmtId="173" fontId="20" fillId="0" borderId="0" xfId="23" applyFont="1" applyFill="1"/>
    <xf numFmtId="173" fontId="24" fillId="0" borderId="0" xfId="23" applyFont="1" applyFill="1" applyAlignment="1">
      <alignment horizontal="center"/>
    </xf>
    <xf numFmtId="173" fontId="16" fillId="0" borderId="0" xfId="0" applyFont="1" applyAlignment="1">
      <alignment horizontal="center" vertical="center"/>
    </xf>
    <xf numFmtId="173" fontId="17" fillId="0" borderId="1" xfId="0" applyFont="1" applyBorder="1" applyAlignment="1">
      <alignment horizontal="left" vertical="center" wrapText="1"/>
    </xf>
    <xf numFmtId="173" fontId="13" fillId="0" borderId="11" xfId="0" applyFont="1" applyBorder="1" applyAlignment="1">
      <alignment vertical="center"/>
    </xf>
    <xf numFmtId="173" fontId="13" fillId="0" borderId="12" xfId="0" applyFont="1" applyBorder="1" applyAlignment="1">
      <alignment vertical="center"/>
    </xf>
    <xf numFmtId="173" fontId="13" fillId="0" borderId="14" xfId="0" applyFont="1" applyBorder="1" applyAlignment="1">
      <alignment vertical="center"/>
    </xf>
    <xf numFmtId="49" fontId="16" fillId="0" borderId="0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70" fontId="17" fillId="0" borderId="0" xfId="0" applyNumberFormat="1" applyFont="1" applyFill="1" applyBorder="1" applyAlignment="1">
      <alignment horizontal="right" vertical="center" wrapText="1"/>
    </xf>
    <xf numFmtId="170" fontId="16" fillId="0" borderId="0" xfId="0" applyNumberFormat="1" applyFont="1" applyFill="1" applyBorder="1" applyAlignment="1">
      <alignment horizontal="center" vertical="center" wrapText="1"/>
    </xf>
    <xf numFmtId="10" fontId="16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vertical="center" wrapText="1"/>
    </xf>
    <xf numFmtId="170" fontId="16" fillId="0" borderId="0" xfId="0" applyNumberFormat="1" applyFont="1" applyFill="1" applyBorder="1" applyAlignment="1">
      <alignment horizontal="right" vertical="center" wrapText="1"/>
    </xf>
    <xf numFmtId="173" fontId="27" fillId="0" borderId="0" xfId="23" applyFont="1" applyFill="1" applyBorder="1" applyAlignment="1" applyProtection="1">
      <alignment horizontal="left" vertical="center"/>
    </xf>
    <xf numFmtId="173" fontId="17" fillId="0" borderId="0" xfId="23" applyFont="1" applyBorder="1" applyAlignment="1">
      <alignment horizontal="center" vertical="center"/>
    </xf>
    <xf numFmtId="173" fontId="13" fillId="0" borderId="0" xfId="23" applyFont="1" applyAlignment="1">
      <alignment horizontal="right"/>
    </xf>
    <xf numFmtId="170" fontId="13" fillId="0" borderId="0" xfId="23" applyNumberFormat="1"/>
    <xf numFmtId="173" fontId="13" fillId="0" borderId="0" xfId="23" applyBorder="1"/>
    <xf numFmtId="173" fontId="17" fillId="0" borderId="0" xfId="23" applyFont="1" applyBorder="1" applyAlignment="1"/>
    <xf numFmtId="173" fontId="16" fillId="0" borderId="1" xfId="23" applyFont="1" applyBorder="1"/>
    <xf numFmtId="10" fontId="16" fillId="0" borderId="1" xfId="29" applyNumberFormat="1" applyFont="1" applyBorder="1" applyAlignment="1">
      <alignment horizontal="center"/>
    </xf>
    <xf numFmtId="10" fontId="16" fillId="0" borderId="0" xfId="29" applyNumberFormat="1" applyFont="1" applyBorder="1" applyAlignment="1">
      <alignment horizontal="center"/>
    </xf>
    <xf numFmtId="173" fontId="13" fillId="0" borderId="0" xfId="23" applyNumberFormat="1"/>
    <xf numFmtId="170" fontId="13" fillId="0" borderId="1" xfId="23" applyNumberFormat="1" applyBorder="1"/>
    <xf numFmtId="173" fontId="13" fillId="0" borderId="0" xfId="23" applyNumberFormat="1"/>
    <xf numFmtId="173" fontId="13" fillId="0" borderId="0" xfId="29" applyNumberFormat="1"/>
    <xf numFmtId="170" fontId="13" fillId="0" borderId="1" xfId="23" applyNumberFormat="1" applyFont="1" applyBorder="1"/>
    <xf numFmtId="173" fontId="17" fillId="0" borderId="0" xfId="23" applyFont="1" applyBorder="1"/>
    <xf numFmtId="173" fontId="16" fillId="0" borderId="0" xfId="23" applyFont="1" applyBorder="1" applyAlignment="1">
      <alignment horizontal="right"/>
    </xf>
    <xf numFmtId="10" fontId="17" fillId="0" borderId="9" xfId="23" applyNumberFormat="1" applyFont="1" applyBorder="1" applyAlignment="1">
      <alignment horizontal="center"/>
    </xf>
    <xf numFmtId="10" fontId="17" fillId="0" borderId="0" xfId="23" applyNumberFormat="1" applyFont="1" applyBorder="1" applyAlignment="1">
      <alignment horizontal="center"/>
    </xf>
    <xf numFmtId="170" fontId="13" fillId="0" borderId="0" xfId="23" applyNumberFormat="1" applyBorder="1"/>
    <xf numFmtId="10" fontId="17" fillId="0" borderId="9" xfId="29" applyNumberFormat="1" applyFont="1" applyBorder="1" applyAlignment="1">
      <alignment horizontal="center"/>
    </xf>
    <xf numFmtId="10" fontId="17" fillId="0" borderId="0" xfId="29" applyNumberFormat="1" applyFont="1" applyBorder="1" applyAlignment="1">
      <alignment horizontal="center"/>
    </xf>
    <xf numFmtId="173" fontId="17" fillId="0" borderId="0" xfId="23" applyFont="1" applyBorder="1" applyAlignment="1">
      <alignment horizontal="right"/>
    </xf>
    <xf numFmtId="10" fontId="17" fillId="0" borderId="0" xfId="23" applyNumberFormat="1" applyFont="1" applyBorder="1"/>
    <xf numFmtId="173" fontId="29" fillId="0" borderId="0" xfId="23" applyFont="1" applyAlignment="1">
      <alignment horizontal="center"/>
    </xf>
    <xf numFmtId="173" fontId="16" fillId="0" borderId="0" xfId="23" applyFont="1" applyBorder="1" applyAlignment="1">
      <alignment horizontal="left" vertical="center"/>
    </xf>
    <xf numFmtId="4" fontId="13" fillId="0" borderId="0" xfId="23" applyNumberFormat="1"/>
    <xf numFmtId="173" fontId="20" fillId="0" borderId="0" xfId="23" applyFont="1"/>
    <xf numFmtId="9" fontId="16" fillId="0" borderId="0" xfId="23" applyNumberFormat="1" applyFont="1" applyAlignment="1">
      <alignment horizontal="center"/>
    </xf>
    <xf numFmtId="173" fontId="16" fillId="0" borderId="0" xfId="23" applyFont="1" applyAlignment="1">
      <alignment horizontal="center"/>
    </xf>
    <xf numFmtId="9" fontId="16" fillId="0" borderId="0" xfId="23" applyNumberFormat="1" applyFont="1" applyBorder="1" applyAlignment="1">
      <alignment horizontal="center"/>
    </xf>
    <xf numFmtId="10" fontId="16" fillId="0" borderId="0" xfId="23" applyNumberFormat="1" applyFont="1" applyBorder="1"/>
    <xf numFmtId="49" fontId="30" fillId="0" borderId="0" xfId="0" applyNumberFormat="1" applyFont="1" applyFill="1" applyBorder="1" applyAlignment="1">
      <alignment horizontal="right" vertical="center" wrapText="1"/>
    </xf>
    <xf numFmtId="173" fontId="30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center" vertical="center" wrapText="1"/>
    </xf>
    <xf numFmtId="170" fontId="19" fillId="0" borderId="0" xfId="0" applyNumberFormat="1" applyFont="1" applyFill="1" applyBorder="1" applyAlignment="1">
      <alignment horizontal="right" vertical="center" wrapText="1"/>
    </xf>
    <xf numFmtId="10" fontId="30" fillId="0" borderId="0" xfId="0" applyNumberFormat="1" applyFont="1" applyFill="1" applyBorder="1" applyAlignment="1">
      <alignment horizontal="center" vertical="center" wrapText="1"/>
    </xf>
    <xf numFmtId="2" fontId="30" fillId="0" borderId="0" xfId="0" applyNumberFormat="1" applyFont="1" applyFill="1" applyBorder="1" applyAlignment="1">
      <alignment horizontal="left" vertical="center" wrapText="1"/>
    </xf>
    <xf numFmtId="173" fontId="17" fillId="0" borderId="0" xfId="28" applyFont="1" applyFill="1" applyBorder="1" applyAlignment="1">
      <alignment horizontal="right" vertical="center"/>
    </xf>
    <xf numFmtId="173" fontId="20" fillId="0" borderId="0" xfId="0" applyFont="1" applyAlignment="1">
      <alignment vertical="center"/>
    </xf>
    <xf numFmtId="173" fontId="20" fillId="0" borderId="0" xfId="0" applyFont="1" applyAlignment="1">
      <alignment horizontal="center" vertical="center"/>
    </xf>
    <xf numFmtId="173" fontId="21" fillId="0" borderId="0" xfId="0" applyFont="1"/>
    <xf numFmtId="173" fontId="21" fillId="0" borderId="0" xfId="0" applyFont="1" applyBorder="1"/>
    <xf numFmtId="173" fontId="21" fillId="0" borderId="1" xfId="0" applyFont="1" applyBorder="1"/>
    <xf numFmtId="4" fontId="21" fillId="0" borderId="1" xfId="0" applyNumberFormat="1" applyFont="1" applyFill="1" applyBorder="1" applyAlignment="1">
      <alignment horizontal="right" vertical="center"/>
    </xf>
    <xf numFmtId="9" fontId="21" fillId="0" borderId="1" xfId="22" applyFont="1" applyBorder="1" applyAlignment="1">
      <alignment horizontal="center"/>
    </xf>
    <xf numFmtId="9" fontId="21" fillId="0" borderId="0" xfId="0" applyNumberFormat="1" applyFont="1" applyAlignment="1">
      <alignment vertical="center"/>
    </xf>
    <xf numFmtId="173" fontId="21" fillId="0" borderId="1" xfId="0" applyFont="1" applyBorder="1" applyAlignment="1">
      <alignment vertical="center" wrapText="1"/>
    </xf>
    <xf numFmtId="9" fontId="21" fillId="0" borderId="17" xfId="22" applyFont="1" applyBorder="1" applyAlignment="1">
      <alignment horizontal="center"/>
    </xf>
    <xf numFmtId="173" fontId="21" fillId="0" borderId="0" xfId="0" applyFont="1" applyAlignment="1">
      <alignment horizontal="center"/>
    </xf>
    <xf numFmtId="173" fontId="21" fillId="0" borderId="15" xfId="0" applyFont="1" applyBorder="1"/>
    <xf numFmtId="173" fontId="21" fillId="0" borderId="10" xfId="0" applyFont="1" applyBorder="1" applyAlignment="1"/>
    <xf numFmtId="10" fontId="21" fillId="0" borderId="1" xfId="22" applyNumberFormat="1" applyFont="1" applyBorder="1" applyAlignment="1"/>
    <xf numFmtId="173" fontId="21" fillId="0" borderId="17" xfId="0" applyFont="1" applyBorder="1"/>
    <xf numFmtId="173" fontId="21" fillId="0" borderId="8" xfId="0" applyFont="1" applyBorder="1" applyAlignment="1">
      <alignment horizontal="left"/>
    </xf>
    <xf numFmtId="10" fontId="21" fillId="0" borderId="1" xfId="0" applyNumberFormat="1" applyFont="1" applyBorder="1" applyAlignment="1"/>
    <xf numFmtId="173" fontId="21" fillId="0" borderId="10" xfId="0" applyFont="1" applyBorder="1"/>
    <xf numFmtId="4" fontId="21" fillId="0" borderId="1" xfId="0" applyNumberFormat="1" applyFont="1" applyBorder="1" applyAlignment="1"/>
    <xf numFmtId="173" fontId="21" fillId="0" borderId="8" xfId="0" applyFont="1" applyBorder="1"/>
    <xf numFmtId="173" fontId="20" fillId="0" borderId="0" xfId="0" applyFont="1" applyBorder="1" applyAlignment="1">
      <alignment horizontal="center" vertical="center"/>
    </xf>
    <xf numFmtId="173" fontId="20" fillId="0" borderId="0" xfId="0" applyFont="1" applyBorder="1" applyAlignment="1">
      <alignment horizontal="left" vertical="center"/>
    </xf>
    <xf numFmtId="2" fontId="21" fillId="0" borderId="0" xfId="0" applyNumberFormat="1" applyFont="1" applyBorder="1" applyAlignment="1">
      <alignment horizontal="center" vertical="center"/>
    </xf>
    <xf numFmtId="173" fontId="17" fillId="4" borderId="3" xfId="0" applyFont="1" applyFill="1" applyBorder="1" applyAlignment="1">
      <alignment horizontal="center" vertical="center"/>
    </xf>
    <xf numFmtId="173" fontId="17" fillId="4" borderId="5" xfId="0" applyFont="1" applyFill="1" applyBorder="1" applyAlignment="1">
      <alignment vertical="center"/>
    </xf>
    <xf numFmtId="173" fontId="16" fillId="4" borderId="5" xfId="0" applyFont="1" applyFill="1" applyBorder="1" applyAlignment="1">
      <alignment vertical="center"/>
    </xf>
    <xf numFmtId="173" fontId="16" fillId="4" borderId="4" xfId="0" applyFont="1" applyFill="1" applyBorder="1" applyAlignment="1">
      <alignment vertical="center"/>
    </xf>
    <xf numFmtId="173" fontId="16" fillId="0" borderId="1" xfId="0" applyFont="1" applyBorder="1" applyAlignment="1">
      <alignment horizontal="left"/>
    </xf>
    <xf numFmtId="2" fontId="16" fillId="0" borderId="1" xfId="0" applyNumberFormat="1" applyFont="1" applyBorder="1" applyAlignment="1">
      <alignment horizontal="center"/>
    </xf>
    <xf numFmtId="173" fontId="16" fillId="0" borderId="17" xfId="0" applyFont="1" applyBorder="1" applyAlignment="1">
      <alignment horizontal="left"/>
    </xf>
    <xf numFmtId="2" fontId="16" fillId="0" borderId="6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73" fontId="3" fillId="0" borderId="0" xfId="30"/>
    <xf numFmtId="173" fontId="13" fillId="0" borderId="3" xfId="23" applyBorder="1" applyAlignment="1">
      <alignment horizontal="right" vertical="center"/>
    </xf>
    <xf numFmtId="170" fontId="3" fillId="5" borderId="4" xfId="30" applyNumberFormat="1" applyFill="1" applyBorder="1" applyAlignment="1">
      <alignment horizontal="center" vertical="center"/>
    </xf>
    <xf numFmtId="173" fontId="3" fillId="0" borderId="3" xfId="30" applyBorder="1" applyAlignment="1">
      <alignment horizontal="right" vertical="center"/>
    </xf>
    <xf numFmtId="173" fontId="3" fillId="0" borderId="4" xfId="30" applyBorder="1" applyAlignment="1">
      <alignment horizontal="center" vertical="center"/>
    </xf>
    <xf numFmtId="173" fontId="3" fillId="0" borderId="1" xfId="30" applyBorder="1" applyAlignment="1">
      <alignment horizontal="center" vertical="center"/>
    </xf>
    <xf numFmtId="173" fontId="3" fillId="0" borderId="3" xfId="30" applyFont="1" applyBorder="1" applyAlignment="1">
      <alignment horizontal="center" vertical="center"/>
    </xf>
    <xf numFmtId="173" fontId="3" fillId="0" borderId="3" xfId="30" applyFont="1" applyFill="1" applyBorder="1" applyAlignment="1">
      <alignment horizontal="right" vertical="center"/>
    </xf>
    <xf numFmtId="14" fontId="3" fillId="0" borderId="4" xfId="30" applyNumberFormat="1" applyBorder="1" applyAlignment="1">
      <alignment horizontal="center" vertical="center"/>
    </xf>
    <xf numFmtId="49" fontId="3" fillId="0" borderId="3" xfId="30" applyNumberFormat="1" applyBorder="1" applyAlignment="1">
      <alignment horizontal="left" vertical="center"/>
    </xf>
    <xf numFmtId="173" fontId="3" fillId="0" borderId="5" xfId="30" applyBorder="1" applyAlignment="1">
      <alignment vertical="center"/>
    </xf>
    <xf numFmtId="173" fontId="3" fillId="0" borderId="5" xfId="30" applyBorder="1" applyAlignment="1">
      <alignment horizontal="center" vertical="center"/>
    </xf>
    <xf numFmtId="173" fontId="3" fillId="0" borderId="5" xfId="30" applyFill="1" applyBorder="1" applyAlignment="1">
      <alignment horizontal="center" vertical="center"/>
    </xf>
    <xf numFmtId="4" fontId="3" fillId="0" borderId="5" xfId="30" applyNumberFormat="1" applyFill="1" applyBorder="1" applyAlignment="1">
      <alignment vertical="center"/>
    </xf>
    <xf numFmtId="173" fontId="3" fillId="0" borderId="5" xfId="30" applyBorder="1"/>
    <xf numFmtId="173" fontId="3" fillId="0" borderId="4" xfId="30" applyBorder="1"/>
    <xf numFmtId="14" fontId="13" fillId="0" borderId="0" xfId="23" applyNumberFormat="1"/>
    <xf numFmtId="49" fontId="3" fillId="0" borderId="15" xfId="30" applyNumberFormat="1" applyFill="1" applyBorder="1" applyAlignment="1">
      <alignment horizontal="right" vertical="center"/>
    </xf>
    <xf numFmtId="14" fontId="3" fillId="5" borderId="15" xfId="30" applyNumberFormat="1" applyFill="1" applyBorder="1" applyAlignment="1">
      <alignment horizontal="center" vertical="center"/>
    </xf>
    <xf numFmtId="173" fontId="3" fillId="0" borderId="10" xfId="30" applyBorder="1" applyAlignment="1">
      <alignment horizontal="center" vertical="center"/>
    </xf>
    <xf numFmtId="170" fontId="3" fillId="5" borderId="10" xfId="30" applyNumberFormat="1" applyFill="1" applyBorder="1" applyAlignment="1">
      <alignment vertical="center"/>
    </xf>
    <xf numFmtId="173" fontId="34" fillId="0" borderId="0" xfId="30" applyFont="1" applyBorder="1" applyAlignment="1">
      <alignment horizontal="center" vertical="center"/>
    </xf>
    <xf numFmtId="170" fontId="13" fillId="0" borderId="15" xfId="23" applyNumberFormat="1" applyBorder="1" applyAlignment="1">
      <alignment horizontal="center" vertical="center"/>
    </xf>
    <xf numFmtId="2" fontId="13" fillId="0" borderId="11" xfId="23" applyNumberFormat="1" applyBorder="1" applyAlignment="1">
      <alignment horizontal="center" vertical="center"/>
    </xf>
    <xf numFmtId="170" fontId="3" fillId="0" borderId="0" xfId="30" applyNumberFormat="1"/>
    <xf numFmtId="49" fontId="3" fillId="0" borderId="16" xfId="30" applyNumberFormat="1" applyFill="1" applyBorder="1" applyAlignment="1">
      <alignment horizontal="right" vertical="center"/>
    </xf>
    <xf numFmtId="14" fontId="3" fillId="5" borderId="16" xfId="30" applyNumberFormat="1" applyFill="1" applyBorder="1" applyAlignment="1">
      <alignment horizontal="center" vertical="center"/>
    </xf>
    <xf numFmtId="173" fontId="3" fillId="0" borderId="0" xfId="30" applyBorder="1" applyAlignment="1">
      <alignment horizontal="center" vertical="center"/>
    </xf>
    <xf numFmtId="170" fontId="3" fillId="5" borderId="0" xfId="30" applyNumberFormat="1" applyFill="1" applyBorder="1" applyAlignment="1">
      <alignment vertical="center"/>
    </xf>
    <xf numFmtId="170" fontId="13" fillId="0" borderId="16" xfId="23" applyNumberFormat="1" applyBorder="1" applyAlignment="1">
      <alignment horizontal="center" vertical="center"/>
    </xf>
    <xf numFmtId="2" fontId="13" fillId="0" borderId="12" xfId="23" applyNumberFormat="1" applyBorder="1" applyAlignment="1">
      <alignment horizontal="center" vertical="center"/>
    </xf>
    <xf numFmtId="173" fontId="3" fillId="0" borderId="0" xfId="30" applyBorder="1"/>
    <xf numFmtId="173" fontId="3" fillId="5" borderId="16" xfId="30" applyFill="1" applyBorder="1" applyAlignment="1">
      <alignment horizontal="center" vertical="center"/>
    </xf>
    <xf numFmtId="4" fontId="3" fillId="5" borderId="0" xfId="30" applyNumberFormat="1" applyFill="1" applyBorder="1" applyAlignment="1">
      <alignment horizontal="right" vertical="center"/>
    </xf>
    <xf numFmtId="49" fontId="3" fillId="0" borderId="17" xfId="30" applyNumberFormat="1" applyBorder="1" applyAlignment="1">
      <alignment horizontal="right" vertical="center"/>
    </xf>
    <xf numFmtId="173" fontId="3" fillId="5" borderId="17" xfId="30" applyFill="1" applyBorder="1" applyAlignment="1">
      <alignment horizontal="center" vertical="center"/>
    </xf>
    <xf numFmtId="173" fontId="3" fillId="0" borderId="8" xfId="30" applyBorder="1" applyAlignment="1">
      <alignment vertical="center"/>
    </xf>
    <xf numFmtId="4" fontId="3" fillId="5" borderId="8" xfId="30" applyNumberFormat="1" applyFill="1" applyBorder="1" applyAlignment="1">
      <alignment horizontal="right" vertical="center"/>
    </xf>
    <xf numFmtId="173" fontId="3" fillId="0" borderId="5" xfId="30" applyFill="1" applyBorder="1" applyAlignment="1">
      <alignment vertical="center"/>
    </xf>
    <xf numFmtId="14" fontId="3" fillId="5" borderId="7" xfId="30" applyNumberFormat="1" applyFill="1" applyBorder="1" applyAlignment="1">
      <alignment horizontal="center" vertical="center"/>
    </xf>
    <xf numFmtId="173" fontId="3" fillId="0" borderId="15" xfId="30" applyBorder="1" applyAlignment="1">
      <alignment horizontal="center" vertical="center"/>
    </xf>
    <xf numFmtId="170" fontId="3" fillId="5" borderId="15" xfId="30" applyNumberFormat="1" applyFill="1" applyBorder="1" applyAlignment="1">
      <alignment vertical="center"/>
    </xf>
    <xf numFmtId="14" fontId="3" fillId="5" borderId="6" xfId="30" applyNumberFormat="1" applyFill="1" applyBorder="1" applyAlignment="1">
      <alignment horizontal="center" vertical="center"/>
    </xf>
    <xf numFmtId="173" fontId="3" fillId="0" borderId="16" xfId="30" applyBorder="1" applyAlignment="1">
      <alignment horizontal="center" vertical="center"/>
    </xf>
    <xf numFmtId="170" fontId="3" fillId="5" borderId="16" xfId="30" applyNumberFormat="1" applyFill="1" applyBorder="1" applyAlignment="1">
      <alignment vertical="center"/>
    </xf>
    <xf numFmtId="173" fontId="3" fillId="5" borderId="6" xfId="30" applyFill="1" applyBorder="1" applyAlignment="1">
      <alignment horizontal="center" vertical="center"/>
    </xf>
    <xf numFmtId="173" fontId="3" fillId="5" borderId="13" xfId="30" applyFill="1" applyBorder="1" applyAlignment="1">
      <alignment horizontal="center" vertical="center"/>
    </xf>
    <xf numFmtId="173" fontId="3" fillId="0" borderId="17" xfId="30" applyBorder="1" applyAlignment="1">
      <alignment horizontal="center" vertical="center"/>
    </xf>
    <xf numFmtId="14" fontId="3" fillId="5" borderId="17" xfId="30" applyNumberFormat="1" applyFill="1" applyBorder="1" applyAlignment="1">
      <alignment horizontal="center" vertical="center"/>
    </xf>
    <xf numFmtId="170" fontId="3" fillId="5" borderId="17" xfId="30" applyNumberFormat="1" applyFill="1" applyBorder="1" applyAlignment="1">
      <alignment vertical="center"/>
    </xf>
    <xf numFmtId="4" fontId="3" fillId="0" borderId="5" xfId="30" applyNumberFormat="1" applyFill="1" applyBorder="1" applyAlignment="1">
      <alignment horizontal="center" vertical="center"/>
    </xf>
    <xf numFmtId="49" fontId="3" fillId="0" borderId="15" xfId="30" applyNumberFormat="1" applyBorder="1" applyAlignment="1">
      <alignment horizontal="right" vertical="center"/>
    </xf>
    <xf numFmtId="170" fontId="3" fillId="5" borderId="7" xfId="30" applyNumberFormat="1" applyFill="1" applyBorder="1" applyAlignment="1">
      <alignment vertical="center"/>
    </xf>
    <xf numFmtId="49" fontId="3" fillId="0" borderId="16" xfId="30" applyNumberFormat="1" applyBorder="1" applyAlignment="1">
      <alignment horizontal="right" vertical="center"/>
    </xf>
    <xf numFmtId="170" fontId="3" fillId="5" borderId="6" xfId="30" applyNumberFormat="1" applyFill="1" applyBorder="1" applyAlignment="1">
      <alignment vertical="center"/>
    </xf>
    <xf numFmtId="173" fontId="3" fillId="0" borderId="17" xfId="30" applyBorder="1" applyAlignment="1">
      <alignment vertical="center"/>
    </xf>
    <xf numFmtId="170" fontId="3" fillId="5" borderId="13" xfId="30" applyNumberFormat="1" applyFill="1" applyBorder="1" applyAlignment="1">
      <alignment vertical="center"/>
    </xf>
    <xf numFmtId="173" fontId="3" fillId="0" borderId="13" xfId="30" applyBorder="1"/>
    <xf numFmtId="173" fontId="3" fillId="0" borderId="8" xfId="30" applyBorder="1"/>
    <xf numFmtId="173" fontId="3" fillId="0" borderId="14" xfId="30" applyBorder="1"/>
    <xf numFmtId="173" fontId="3" fillId="5" borderId="7" xfId="30" applyFill="1" applyBorder="1" applyAlignment="1">
      <alignment horizontal="center" vertical="center"/>
    </xf>
    <xf numFmtId="173" fontId="3" fillId="0" borderId="8" xfId="30" applyBorder="1" applyAlignment="1">
      <alignment horizontal="center" vertical="center"/>
    </xf>
    <xf numFmtId="14" fontId="3" fillId="5" borderId="13" xfId="30" applyNumberFormat="1" applyFill="1" applyBorder="1" applyAlignment="1">
      <alignment horizontal="center" vertical="center"/>
    </xf>
    <xf numFmtId="173" fontId="3" fillId="0" borderId="3" xfId="30" applyBorder="1" applyAlignment="1">
      <alignment vertical="center"/>
    </xf>
    <xf numFmtId="49" fontId="3" fillId="0" borderId="6" xfId="30" applyNumberFormat="1" applyBorder="1" applyAlignment="1">
      <alignment horizontal="right" vertical="center"/>
    </xf>
    <xf numFmtId="173" fontId="36" fillId="0" borderId="6" xfId="30" applyFont="1" applyBorder="1" applyAlignment="1">
      <alignment horizontal="left" vertical="center"/>
    </xf>
    <xf numFmtId="173" fontId="3" fillId="0" borderId="0" xfId="30" applyBorder="1" applyAlignment="1">
      <alignment horizontal="left" vertical="center"/>
    </xf>
    <xf numFmtId="173" fontId="3" fillId="0" borderId="12" xfId="30" applyBorder="1" applyAlignment="1">
      <alignment horizontal="left" vertical="center"/>
    </xf>
    <xf numFmtId="173" fontId="3" fillId="0" borderId="6" xfId="30" applyBorder="1" applyAlignment="1">
      <alignment horizontal="left" vertical="center"/>
    </xf>
    <xf numFmtId="173" fontId="3" fillId="0" borderId="0" xfId="30" applyAlignment="1">
      <alignment vertical="center"/>
    </xf>
    <xf numFmtId="49" fontId="3" fillId="0" borderId="13" xfId="30" applyNumberFormat="1" applyBorder="1" applyAlignment="1">
      <alignment horizontal="right" vertical="center"/>
    </xf>
    <xf numFmtId="173" fontId="3" fillId="0" borderId="7" xfId="30" applyBorder="1" applyAlignment="1">
      <alignment horizontal="center" vertical="center"/>
    </xf>
    <xf numFmtId="173" fontId="3" fillId="0" borderId="6" xfId="30" applyBorder="1" applyAlignment="1">
      <alignment horizontal="center" vertical="center"/>
    </xf>
    <xf numFmtId="14" fontId="37" fillId="5" borderId="16" xfId="30" applyNumberFormat="1" applyFont="1" applyFill="1" applyBorder="1" applyAlignment="1">
      <alignment horizontal="center" vertical="center"/>
    </xf>
    <xf numFmtId="173" fontId="3" fillId="0" borderId="13" xfId="30" applyBorder="1" applyAlignment="1">
      <alignment horizontal="center" vertical="center"/>
    </xf>
    <xf numFmtId="170" fontId="3" fillId="5" borderId="8" xfId="30" applyNumberFormat="1" applyFill="1" applyBorder="1" applyAlignment="1">
      <alignment vertical="center"/>
    </xf>
    <xf numFmtId="173" fontId="16" fillId="0" borderId="1" xfId="0" applyFont="1" applyBorder="1"/>
    <xf numFmtId="173" fontId="17" fillId="0" borderId="0" xfId="0" applyFont="1" applyAlignment="1">
      <alignment vertical="center"/>
    </xf>
    <xf numFmtId="173" fontId="17" fillId="0" borderId="1" xfId="0" applyFont="1" applyFill="1" applyBorder="1" applyAlignment="1">
      <alignment horizontal="center" vertical="center"/>
    </xf>
    <xf numFmtId="44" fontId="17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44" fontId="16" fillId="0" borderId="1" xfId="0" applyNumberFormat="1" applyFont="1" applyBorder="1" applyAlignment="1">
      <alignment vertical="center"/>
    </xf>
    <xf numFmtId="44" fontId="16" fillId="0" borderId="1" xfId="12" applyFont="1" applyBorder="1" applyAlignment="1">
      <alignment horizontal="center" vertical="center"/>
    </xf>
    <xf numFmtId="10" fontId="16" fillId="0" borderId="0" xfId="18" applyNumberFormat="1" applyFont="1" applyBorder="1" applyAlignment="1">
      <alignment horizontal="center" vertical="center"/>
    </xf>
    <xf numFmtId="44" fontId="16" fillId="0" borderId="0" xfId="0" applyNumberFormat="1" applyFont="1" applyAlignment="1">
      <alignment vertical="center"/>
    </xf>
    <xf numFmtId="9" fontId="16" fillId="0" borderId="0" xfId="18" applyFont="1" applyBorder="1" applyAlignment="1">
      <alignment horizontal="center" vertical="center"/>
    </xf>
    <xf numFmtId="173" fontId="16" fillId="0" borderId="1" xfId="0" applyFont="1" applyFill="1" applyBorder="1" applyAlignment="1">
      <alignment horizontal="center" vertical="center" wrapText="1"/>
    </xf>
    <xf numFmtId="173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44" fontId="16" fillId="0" borderId="0" xfId="0" applyNumberFormat="1" applyFont="1" applyBorder="1" applyAlignment="1">
      <alignment vertical="center"/>
    </xf>
    <xf numFmtId="10" fontId="16" fillId="0" borderId="0" xfId="18" applyNumberFormat="1" applyFont="1" applyBorder="1" applyAlignment="1">
      <alignment vertical="center"/>
    </xf>
    <xf numFmtId="10" fontId="16" fillId="0" borderId="6" xfId="18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73" fontId="16" fillId="0" borderId="6" xfId="0" applyFont="1" applyBorder="1" applyAlignment="1">
      <alignment vertical="center"/>
    </xf>
    <xf numFmtId="10" fontId="16" fillId="0" borderId="7" xfId="18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4" fontId="16" fillId="0" borderId="0" xfId="12" applyFont="1" applyBorder="1" applyAlignment="1">
      <alignment horizontal="center" vertical="center"/>
    </xf>
    <xf numFmtId="44" fontId="17" fillId="0" borderId="0" xfId="0" applyNumberFormat="1" applyFont="1" applyBorder="1" applyAlignment="1">
      <alignment vertical="center"/>
    </xf>
    <xf numFmtId="173" fontId="16" fillId="0" borderId="1" xfId="0" applyFont="1" applyBorder="1" applyAlignment="1">
      <alignment horizontal="center" vertical="center"/>
    </xf>
    <xf numFmtId="173" fontId="17" fillId="0" borderId="0" xfId="0" applyFont="1" applyAlignment="1">
      <alignment vertical="center" wrapText="1"/>
    </xf>
    <xf numFmtId="173" fontId="17" fillId="0" borderId="10" xfId="0" applyFont="1" applyBorder="1" applyAlignment="1">
      <alignment horizontal="center" vertical="center" wrapText="1"/>
    </xf>
    <xf numFmtId="173" fontId="17" fillId="0" borderId="8" xfId="0" applyFont="1" applyBorder="1" applyAlignment="1">
      <alignment horizontal="center" vertical="center" wrapText="1"/>
    </xf>
    <xf numFmtId="173" fontId="17" fillId="0" borderId="0" xfId="0" applyFont="1" applyAlignment="1">
      <alignment horizontal="center" vertical="center" wrapText="1"/>
    </xf>
    <xf numFmtId="173" fontId="16" fillId="0" borderId="0" xfId="0" applyFont="1" applyAlignment="1">
      <alignment horizontal="center" vertical="center"/>
    </xf>
    <xf numFmtId="173" fontId="13" fillId="0" borderId="1" xfId="0" applyFont="1" applyBorder="1" applyAlignment="1">
      <alignment horizontal="center" vertical="top" wrapText="1"/>
    </xf>
    <xf numFmtId="173" fontId="16" fillId="0" borderId="1" xfId="0" applyFont="1" applyBorder="1" applyAlignment="1">
      <alignment vertical="top" wrapText="1"/>
    </xf>
    <xf numFmtId="173" fontId="16" fillId="0" borderId="1" xfId="0" applyFont="1" applyBorder="1" applyAlignment="1">
      <alignment horizontal="center" vertical="top" wrapText="1"/>
    </xf>
    <xf numFmtId="173" fontId="17" fillId="0" borderId="0" xfId="0" applyFont="1" applyAlignment="1">
      <alignment vertical="center" wrapText="1"/>
    </xf>
    <xf numFmtId="173" fontId="16" fillId="0" borderId="1" xfId="0" applyFont="1" applyBorder="1" applyAlignment="1">
      <alignment horizontal="center" vertical="center"/>
    </xf>
    <xf numFmtId="173" fontId="17" fillId="0" borderId="8" xfId="0" applyFont="1" applyBorder="1" applyAlignment="1">
      <alignment horizontal="center" vertical="center" wrapText="1"/>
    </xf>
    <xf numFmtId="173" fontId="17" fillId="0" borderId="0" xfId="0" applyFont="1" applyAlignment="1">
      <alignment horizontal="center" vertical="center" wrapText="1"/>
    </xf>
    <xf numFmtId="173" fontId="16" fillId="0" borderId="0" xfId="0" applyFont="1" applyAlignment="1">
      <alignment horizontal="center" vertical="center"/>
    </xf>
    <xf numFmtId="173" fontId="0" fillId="0" borderId="0" xfId="0" applyFill="1" applyBorder="1"/>
    <xf numFmtId="173" fontId="5" fillId="0" borderId="0" xfId="0" applyFont="1" applyBorder="1" applyAlignment="1">
      <alignment vertical="top" wrapText="1"/>
    </xf>
    <xf numFmtId="173" fontId="5" fillId="0" borderId="0" xfId="0" applyFont="1" applyFill="1" applyBorder="1" applyAlignment="1">
      <alignment vertical="center"/>
    </xf>
    <xf numFmtId="173" fontId="5" fillId="2" borderId="0" xfId="0" applyFont="1" applyFill="1" applyBorder="1" applyAlignment="1">
      <alignment vertical="center"/>
    </xf>
    <xf numFmtId="173" fontId="5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center" vertical="center"/>
    </xf>
    <xf numFmtId="173" fontId="5" fillId="0" borderId="0" xfId="0" applyFont="1" applyFill="1" applyBorder="1" applyAlignment="1">
      <alignment vertical="top" wrapText="1"/>
    </xf>
    <xf numFmtId="173" fontId="13" fillId="0" borderId="0" xfId="0" applyFont="1" applyAlignment="1">
      <alignment horizontal="center" vertical="center"/>
    </xf>
    <xf numFmtId="173" fontId="0" fillId="0" borderId="0" xfId="0" applyAlignment="1">
      <alignment horizontal="center" vertical="center"/>
    </xf>
    <xf numFmtId="173" fontId="13" fillId="0" borderId="1" xfId="0" applyFont="1" applyBorder="1" applyAlignment="1">
      <alignment horizontal="left" vertical="center" wrapText="1"/>
    </xf>
    <xf numFmtId="173" fontId="13" fillId="0" borderId="1" xfId="0" applyFont="1" applyBorder="1" applyAlignment="1">
      <alignment horizontal="center" vertical="center" wrapText="1"/>
    </xf>
    <xf numFmtId="173" fontId="0" fillId="0" borderId="1" xfId="0" applyBorder="1" applyAlignment="1">
      <alignment horizontal="left" vertical="center"/>
    </xf>
    <xf numFmtId="173" fontId="0" fillId="0" borderId="1" xfId="0" applyBorder="1" applyAlignment="1">
      <alignment horizontal="center" vertical="center"/>
    </xf>
    <xf numFmtId="173" fontId="0" fillId="0" borderId="28" xfId="0" applyBorder="1" applyAlignment="1">
      <alignment horizontal="left" vertical="center"/>
    </xf>
    <xf numFmtId="173" fontId="0" fillId="0" borderId="28" xfId="0" applyBorder="1" applyAlignment="1">
      <alignment horizontal="center" vertical="center"/>
    </xf>
    <xf numFmtId="173" fontId="0" fillId="0" borderId="0" xfId="0" applyBorder="1" applyAlignment="1">
      <alignment horizontal="center" vertical="center"/>
    </xf>
    <xf numFmtId="173" fontId="0" fillId="0" borderId="0" xfId="0" applyAlignment="1">
      <alignment horizontal="center"/>
    </xf>
    <xf numFmtId="173" fontId="3" fillId="0" borderId="0" xfId="30" applyBorder="1" applyAlignment="1">
      <alignment vertical="center"/>
    </xf>
    <xf numFmtId="173" fontId="0" fillId="0" borderId="1" xfId="0" applyBorder="1" applyAlignment="1">
      <alignment horizontal="left" vertical="center" wrapText="1"/>
    </xf>
    <xf numFmtId="170" fontId="38" fillId="0" borderId="1" xfId="0" applyNumberFormat="1" applyFont="1" applyFill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 wrapText="1"/>
    </xf>
    <xf numFmtId="170" fontId="0" fillId="0" borderId="26" xfId="0" applyNumberFormat="1" applyFill="1" applyBorder="1" applyAlignment="1">
      <alignment horizontal="center" vertical="center"/>
    </xf>
    <xf numFmtId="170" fontId="0" fillId="0" borderId="29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173" fontId="13" fillId="0" borderId="1" xfId="0" applyFont="1" applyBorder="1" applyAlignment="1">
      <alignment horizontal="left" vertical="center"/>
    </xf>
    <xf numFmtId="173" fontId="20" fillId="0" borderId="1" xfId="0" applyFont="1" applyBorder="1" applyAlignment="1">
      <alignment vertical="top" wrapText="1"/>
    </xf>
    <xf numFmtId="173" fontId="16" fillId="0" borderId="0" xfId="0" applyFont="1" applyFill="1" applyBorder="1" applyAlignment="1">
      <alignment horizontal="center" vertical="center"/>
    </xf>
    <xf numFmtId="173" fontId="17" fillId="0" borderId="0" xfId="0" applyFont="1" applyFill="1" applyBorder="1" applyAlignment="1">
      <alignment horizontal="center" vertical="center" wrapText="1"/>
    </xf>
    <xf numFmtId="173" fontId="17" fillId="0" borderId="0" xfId="0" applyFont="1" applyFill="1" applyBorder="1" applyAlignment="1">
      <alignment horizontal="center" vertical="center"/>
    </xf>
    <xf numFmtId="173" fontId="17" fillId="0" borderId="0" xfId="0" applyFont="1" applyBorder="1" applyAlignment="1">
      <alignment horizontal="center" vertical="center" wrapText="1"/>
    </xf>
    <xf numFmtId="173" fontId="17" fillId="0" borderId="0" xfId="0" applyFont="1" applyFill="1" applyBorder="1" applyAlignment="1">
      <alignment horizontal="center" vertical="top" wrapText="1"/>
    </xf>
    <xf numFmtId="173" fontId="17" fillId="0" borderId="1" xfId="0" applyFont="1" applyBorder="1" applyAlignment="1">
      <alignment horizontal="center" vertical="center" wrapText="1"/>
    </xf>
    <xf numFmtId="173" fontId="16" fillId="0" borderId="1" xfId="0" applyFont="1" applyBorder="1" applyAlignment="1">
      <alignment horizontal="center"/>
    </xf>
    <xf numFmtId="173" fontId="17" fillId="0" borderId="11" xfId="0" applyFont="1" applyBorder="1" applyAlignment="1">
      <alignment horizontal="center" vertical="center" wrapText="1"/>
    </xf>
    <xf numFmtId="173" fontId="17" fillId="0" borderId="12" xfId="0" applyFont="1" applyFill="1" applyBorder="1" applyAlignment="1">
      <alignment horizontal="center" vertical="center" wrapText="1"/>
    </xf>
    <xf numFmtId="173" fontId="17" fillId="0" borderId="12" xfId="0" applyFont="1" applyFill="1" applyBorder="1" applyAlignment="1">
      <alignment horizontal="center" vertical="center"/>
    </xf>
    <xf numFmtId="173" fontId="17" fillId="0" borderId="14" xfId="0" applyFont="1" applyBorder="1" applyAlignment="1">
      <alignment horizontal="center" vertical="center" wrapText="1"/>
    </xf>
    <xf numFmtId="170" fontId="16" fillId="0" borderId="1" xfId="0" applyNumberFormat="1" applyFont="1" applyBorder="1" applyAlignment="1">
      <alignment horizontal="center" vertical="center" wrapText="1"/>
    </xf>
    <xf numFmtId="170" fontId="17" fillId="0" borderId="9" xfId="0" applyNumberFormat="1" applyFont="1" applyBorder="1" applyAlignment="1">
      <alignment horizontal="center" vertical="center" wrapText="1"/>
    </xf>
    <xf numFmtId="173" fontId="17" fillId="0" borderId="3" xfId="0" applyFont="1" applyBorder="1" applyAlignment="1">
      <alignment horizontal="center" vertical="center" wrapText="1"/>
    </xf>
    <xf numFmtId="173" fontId="16" fillId="4" borderId="5" xfId="0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173" fontId="17" fillId="4" borderId="5" xfId="0" applyFont="1" applyFill="1" applyBorder="1" applyAlignment="1">
      <alignment horizontal="center" vertical="center"/>
    </xf>
    <xf numFmtId="173" fontId="16" fillId="0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top" wrapText="1"/>
    </xf>
    <xf numFmtId="49" fontId="21" fillId="0" borderId="3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center" vertical="center"/>
    </xf>
    <xf numFmtId="173" fontId="2" fillId="0" borderId="1" xfId="30" applyFont="1" applyBorder="1" applyAlignment="1">
      <alignment vertical="center"/>
    </xf>
    <xf numFmtId="49" fontId="16" fillId="0" borderId="3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center"/>
    </xf>
    <xf numFmtId="173" fontId="0" fillId="0" borderId="0" xfId="0" applyBorder="1" applyAlignment="1">
      <alignment vertical="center"/>
    </xf>
    <xf numFmtId="4" fontId="21" fillId="0" borderId="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left" vertical="center"/>
    </xf>
    <xf numFmtId="4" fontId="16" fillId="0" borderId="4" xfId="0" applyNumberFormat="1" applyFont="1" applyBorder="1" applyAlignment="1">
      <alignment horizontal="center" vertical="center"/>
    </xf>
    <xf numFmtId="173" fontId="17" fillId="0" borderId="0" xfId="0" applyFont="1" applyAlignment="1">
      <alignment vertical="center" wrapText="1"/>
    </xf>
    <xf numFmtId="173" fontId="16" fillId="0" borderId="1" xfId="0" applyFont="1" applyBorder="1" applyAlignment="1">
      <alignment horizontal="center" vertical="center"/>
    </xf>
    <xf numFmtId="173" fontId="17" fillId="0" borderId="8" xfId="0" applyFont="1" applyBorder="1" applyAlignment="1">
      <alignment horizontal="center" vertical="center" wrapText="1"/>
    </xf>
    <xf numFmtId="173" fontId="17" fillId="0" borderId="0" xfId="0" applyFont="1" applyAlignment="1">
      <alignment horizontal="center" vertical="center" wrapText="1"/>
    </xf>
    <xf numFmtId="173" fontId="16" fillId="0" borderId="0" xfId="0" applyFont="1" applyAlignment="1">
      <alignment horizontal="center" vertical="center"/>
    </xf>
    <xf numFmtId="173" fontId="17" fillId="0" borderId="0" xfId="0" applyFont="1" applyAlignment="1">
      <alignment vertical="center" wrapText="1"/>
    </xf>
    <xf numFmtId="173" fontId="16" fillId="0" borderId="1" xfId="0" applyFont="1" applyBorder="1" applyAlignment="1">
      <alignment horizontal="center" vertical="center"/>
    </xf>
    <xf numFmtId="173" fontId="17" fillId="0" borderId="8" xfId="0" applyFont="1" applyBorder="1" applyAlignment="1">
      <alignment horizontal="center" vertical="center" wrapText="1"/>
    </xf>
    <xf numFmtId="173" fontId="17" fillId="0" borderId="0" xfId="0" applyFont="1" applyAlignment="1">
      <alignment horizontal="center" vertical="center" wrapText="1"/>
    </xf>
    <xf numFmtId="173" fontId="16" fillId="0" borderId="0" xfId="0" applyFont="1" applyAlignment="1">
      <alignment horizontal="center" vertical="center"/>
    </xf>
    <xf numFmtId="173" fontId="13" fillId="0" borderId="1" xfId="0" applyFont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173" fontId="17" fillId="0" borderId="0" xfId="0" applyFont="1" applyAlignment="1">
      <alignment vertical="center" wrapText="1"/>
    </xf>
    <xf numFmtId="173" fontId="16" fillId="0" borderId="1" xfId="0" applyFont="1" applyBorder="1" applyAlignment="1">
      <alignment horizontal="center" vertical="center"/>
    </xf>
    <xf numFmtId="173" fontId="17" fillId="0" borderId="10" xfId="0" applyFont="1" applyBorder="1" applyAlignment="1">
      <alignment horizontal="center" vertical="center" wrapText="1"/>
    </xf>
    <xf numFmtId="173" fontId="17" fillId="0" borderId="8" xfId="0" applyFont="1" applyBorder="1" applyAlignment="1">
      <alignment horizontal="center" vertical="center" wrapText="1"/>
    </xf>
    <xf numFmtId="173" fontId="17" fillId="0" borderId="0" xfId="0" applyFont="1" applyAlignment="1">
      <alignment horizontal="center" vertical="center" wrapText="1"/>
    </xf>
    <xf numFmtId="173" fontId="16" fillId="0" borderId="0" xfId="0" applyFont="1" applyAlignment="1">
      <alignment horizontal="center" vertical="center"/>
    </xf>
    <xf numFmtId="173" fontId="0" fillId="0" borderId="1" xfId="0" applyBorder="1"/>
    <xf numFmtId="44" fontId="16" fillId="0" borderId="1" xfId="0" applyNumberFormat="1" applyFont="1" applyFill="1" applyBorder="1" applyAlignment="1">
      <alignment vertical="center"/>
    </xf>
    <xf numFmtId="173" fontId="16" fillId="0" borderId="0" xfId="0" applyFont="1" applyFill="1" applyAlignment="1">
      <alignment vertical="center"/>
    </xf>
    <xf numFmtId="173" fontId="4" fillId="0" borderId="1" xfId="0" applyFont="1" applyBorder="1" applyAlignment="1">
      <alignment horizontal="center" vertical="center" wrapText="1"/>
    </xf>
    <xf numFmtId="175" fontId="0" fillId="0" borderId="1" xfId="0" applyNumberFormat="1" applyFill="1" applyBorder="1" applyAlignment="1">
      <alignment horizontal="center" vertical="center"/>
    </xf>
    <xf numFmtId="173" fontId="42" fillId="0" borderId="1" xfId="0" applyFont="1" applyBorder="1" applyAlignment="1">
      <alignment horizontal="center" vertical="center"/>
    </xf>
    <xf numFmtId="173" fontId="21" fillId="0" borderId="1" xfId="0" applyFont="1" applyBorder="1" applyAlignment="1">
      <alignment horizontal="left"/>
    </xf>
    <xf numFmtId="173" fontId="4" fillId="0" borderId="1" xfId="0" applyFont="1" applyBorder="1"/>
    <xf numFmtId="173" fontId="13" fillId="0" borderId="0" xfId="0" applyFont="1" applyBorder="1" applyAlignment="1">
      <alignment vertical="center"/>
    </xf>
    <xf numFmtId="173" fontId="13" fillId="0" borderId="10" xfId="0" applyFont="1" applyBorder="1" applyAlignment="1">
      <alignment vertical="center"/>
    </xf>
    <xf numFmtId="173" fontId="0" fillId="0" borderId="11" xfId="0" applyBorder="1" applyAlignment="1">
      <alignment vertical="center"/>
    </xf>
    <xf numFmtId="173" fontId="0" fillId="0" borderId="12" xfId="0" applyBorder="1" applyAlignment="1">
      <alignment vertical="center"/>
    </xf>
    <xf numFmtId="173" fontId="13" fillId="0" borderId="8" xfId="0" applyFont="1" applyBorder="1" applyAlignment="1">
      <alignment vertical="center"/>
    </xf>
    <xf numFmtId="173" fontId="0" fillId="0" borderId="14" xfId="0" applyBorder="1" applyAlignment="1">
      <alignment vertical="center"/>
    </xf>
    <xf numFmtId="2" fontId="17" fillId="0" borderId="0" xfId="0" applyNumberFormat="1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right" vertical="center"/>
    </xf>
    <xf numFmtId="2" fontId="17" fillId="0" borderId="12" xfId="0" applyNumberFormat="1" applyFont="1" applyFill="1" applyBorder="1" applyAlignment="1">
      <alignment horizontal="left" vertical="center"/>
    </xf>
    <xf numFmtId="44" fontId="17" fillId="8" borderId="1" xfId="0" applyNumberFormat="1" applyFont="1" applyFill="1" applyBorder="1" applyAlignment="1">
      <alignment vertical="center"/>
    </xf>
    <xf numFmtId="2" fontId="21" fillId="0" borderId="1" xfId="0" applyNumberFormat="1" applyFont="1" applyBorder="1"/>
    <xf numFmtId="2" fontId="21" fillId="0" borderId="1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left"/>
    </xf>
    <xf numFmtId="173" fontId="21" fillId="0" borderId="1" xfId="0" applyNumberFormat="1" applyFont="1" applyBorder="1"/>
    <xf numFmtId="173" fontId="21" fillId="0" borderId="1" xfId="0" applyNumberFormat="1" applyFont="1" applyBorder="1" applyAlignment="1">
      <alignment horizontal="left"/>
    </xf>
    <xf numFmtId="4" fontId="25" fillId="0" borderId="1" xfId="0" applyNumberFormat="1" applyFont="1" applyFill="1" applyBorder="1" applyAlignment="1">
      <alignment horizontal="right" vertical="center"/>
    </xf>
    <xf numFmtId="9" fontId="21" fillId="0" borderId="0" xfId="22" applyFont="1" applyBorder="1" applyAlignment="1">
      <alignment horizontal="center"/>
    </xf>
    <xf numFmtId="10" fontId="21" fillId="0" borderId="0" xfId="22" applyNumberFormat="1" applyFont="1" applyBorder="1" applyAlignment="1"/>
    <xf numFmtId="10" fontId="21" fillId="0" borderId="0" xfId="0" applyNumberFormat="1" applyFont="1" applyBorder="1" applyAlignment="1"/>
    <xf numFmtId="4" fontId="21" fillId="0" borderId="0" xfId="0" applyNumberFormat="1" applyFont="1" applyBorder="1" applyAlignment="1"/>
    <xf numFmtId="174" fontId="21" fillId="0" borderId="1" xfId="22" applyNumberFormat="1" applyFont="1" applyBorder="1" applyAlignment="1">
      <alignment horizontal="center"/>
    </xf>
    <xf numFmtId="10" fontId="21" fillId="0" borderId="1" xfId="22" applyNumberFormat="1" applyFont="1" applyBorder="1" applyAlignment="1">
      <alignment horizontal="center"/>
    </xf>
    <xf numFmtId="10" fontId="25" fillId="0" borderId="1" xfId="22" applyNumberFormat="1" applyFont="1" applyBorder="1" applyAlignment="1">
      <alignment horizontal="center"/>
    </xf>
    <xf numFmtId="173" fontId="21" fillId="0" borderId="11" xfId="0" applyFont="1" applyBorder="1" applyAlignment="1">
      <alignment horizontal="center"/>
    </xf>
    <xf numFmtId="173" fontId="31" fillId="0" borderId="14" xfId="0" applyFont="1" applyBorder="1" applyAlignment="1">
      <alignment horizontal="center"/>
    </xf>
    <xf numFmtId="173" fontId="21" fillId="0" borderId="14" xfId="0" applyFont="1" applyBorder="1" applyAlignment="1">
      <alignment horizontal="center"/>
    </xf>
    <xf numFmtId="173" fontId="19" fillId="0" borderId="0" xfId="23" applyFont="1" applyFill="1" applyBorder="1" applyAlignment="1">
      <alignment horizontal="center" vertical="center"/>
    </xf>
    <xf numFmtId="173" fontId="21" fillId="0" borderId="0" xfId="0" applyFont="1" applyFill="1"/>
    <xf numFmtId="173" fontId="21" fillId="0" borderId="0" xfId="0" applyFont="1" applyFill="1" applyBorder="1" applyAlignment="1">
      <alignment horizontal="center"/>
    </xf>
    <xf numFmtId="173" fontId="21" fillId="5" borderId="14" xfId="0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 wrapText="1"/>
    </xf>
    <xf numFmtId="176" fontId="30" fillId="0" borderId="1" xfId="0" applyNumberFormat="1" applyFont="1" applyFill="1" applyBorder="1" applyAlignment="1">
      <alignment horizontal="center" vertical="center" wrapText="1"/>
    </xf>
    <xf numFmtId="173" fontId="16" fillId="0" borderId="0" xfId="0" applyFont="1" applyAlignment="1">
      <alignment horizontal="right" vertical="center"/>
    </xf>
    <xf numFmtId="177" fontId="17" fillId="8" borderId="1" xfId="0" applyNumberFormat="1" applyFont="1" applyFill="1" applyBorder="1" applyAlignment="1">
      <alignment vertical="center"/>
    </xf>
    <xf numFmtId="173" fontId="21" fillId="0" borderId="1" xfId="0" applyFont="1" applyBorder="1" applyAlignment="1">
      <alignment vertical="top" wrapText="1"/>
    </xf>
    <xf numFmtId="173" fontId="17" fillId="4" borderId="4" xfId="0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78" fontId="1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49" fontId="17" fillId="4" borderId="3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1" fontId="25" fillId="0" borderId="1" xfId="0" applyNumberFormat="1" applyFont="1" applyBorder="1" applyAlignment="1">
      <alignment horizontal="right"/>
    </xf>
    <xf numFmtId="44" fontId="16" fillId="0" borderId="3" xfId="0" applyNumberFormat="1" applyFont="1" applyFill="1" applyBorder="1" applyAlignment="1">
      <alignment vertical="center"/>
    </xf>
    <xf numFmtId="44" fontId="16" fillId="0" borderId="1" xfId="12" applyFont="1" applyFill="1" applyBorder="1" applyAlignment="1">
      <alignment horizontal="center" vertical="center"/>
    </xf>
    <xf numFmtId="179" fontId="21" fillId="5" borderId="14" xfId="0" applyNumberFormat="1" applyFont="1" applyFill="1" applyBorder="1" applyAlignment="1">
      <alignment horizontal="center"/>
    </xf>
    <xf numFmtId="173" fontId="16" fillId="0" borderId="1" xfId="0" applyFont="1" applyBorder="1" applyAlignment="1">
      <alignment horizontal="center" vertical="center"/>
    </xf>
    <xf numFmtId="173" fontId="21" fillId="0" borderId="1" xfId="0" applyFont="1" applyFill="1" applyBorder="1" applyAlignment="1">
      <alignment horizontal="left" vertical="center" wrapText="1"/>
    </xf>
    <xf numFmtId="173" fontId="21" fillId="0" borderId="1" xfId="0" applyFont="1" applyFill="1" applyBorder="1" applyAlignment="1">
      <alignment vertical="center" wrapText="1"/>
    </xf>
    <xf numFmtId="173" fontId="21" fillId="0" borderId="4" xfId="0" applyFont="1" applyBorder="1" applyAlignment="1">
      <alignment vertical="center" wrapText="1"/>
    </xf>
    <xf numFmtId="173" fontId="21" fillId="0" borderId="4" xfId="0" applyFont="1" applyFill="1" applyBorder="1" applyAlignment="1">
      <alignment vertical="center" wrapText="1"/>
    </xf>
    <xf numFmtId="173" fontId="4" fillId="0" borderId="1" xfId="0" applyFont="1" applyBorder="1" applyAlignment="1">
      <alignment horizontal="left" vertical="center"/>
    </xf>
    <xf numFmtId="1" fontId="16" fillId="0" borderId="0" xfId="0" applyNumberFormat="1" applyFont="1" applyAlignment="1">
      <alignment vertical="center"/>
    </xf>
    <xf numFmtId="1" fontId="17" fillId="0" borderId="7" xfId="0" applyNumberFormat="1" applyFont="1" applyBorder="1" applyAlignment="1">
      <alignment vertical="center" wrapText="1"/>
    </xf>
    <xf numFmtId="1" fontId="17" fillId="0" borderId="6" xfId="0" applyNumberFormat="1" applyFont="1" applyFill="1" applyBorder="1" applyAlignment="1">
      <alignment horizontal="left" vertical="center"/>
    </xf>
    <xf numFmtId="1" fontId="17" fillId="0" borderId="13" xfId="0" applyNumberFormat="1" applyFont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0" borderId="8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1" fontId="17" fillId="0" borderId="0" xfId="0" applyNumberFormat="1" applyFont="1" applyAlignment="1">
      <alignment vertical="center" wrapText="1"/>
    </xf>
    <xf numFmtId="1" fontId="16" fillId="0" borderId="0" xfId="0" applyNumberFormat="1" applyFont="1" applyAlignment="1">
      <alignment horizontal="center" vertical="center" wrapText="1"/>
    </xf>
    <xf numFmtId="1" fontId="16" fillId="0" borderId="0" xfId="0" applyNumberFormat="1" applyFont="1" applyAlignment="1">
      <alignment vertical="center" wrapText="1"/>
    </xf>
    <xf numFmtId="1" fontId="0" fillId="0" borderId="0" xfId="0" applyNumberForma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4" fontId="16" fillId="4" borderId="5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" xfId="10" applyNumberFormat="1" applyFont="1" applyBorder="1" applyAlignment="1">
      <alignment horizontal="center" vertical="center"/>
    </xf>
    <xf numFmtId="4" fontId="16" fillId="0" borderId="5" xfId="10" applyNumberFormat="1" applyFont="1" applyFill="1" applyBorder="1" applyAlignment="1">
      <alignment horizontal="center" vertical="center"/>
    </xf>
    <xf numFmtId="2" fontId="22" fillId="0" borderId="0" xfId="23" applyNumberFormat="1" applyFont="1" applyFill="1"/>
    <xf numFmtId="2" fontId="20" fillId="7" borderId="17" xfId="23" applyNumberFormat="1" applyFont="1" applyFill="1" applyBorder="1" applyAlignment="1">
      <alignment horizontal="center"/>
    </xf>
    <xf numFmtId="2" fontId="25" fillId="6" borderId="1" xfId="23" applyNumberFormat="1" applyFont="1" applyFill="1" applyBorder="1" applyAlignment="1">
      <alignment horizontal="center" vertical="center"/>
    </xf>
    <xf numFmtId="2" fontId="24" fillId="0" borderId="0" xfId="23" applyNumberFormat="1" applyFont="1" applyFill="1"/>
    <xf numFmtId="1" fontId="22" fillId="0" borderId="0" xfId="23" applyNumberFormat="1" applyFont="1" applyFill="1"/>
    <xf numFmtId="1" fontId="22" fillId="0" borderId="7" xfId="23" applyNumberFormat="1" applyFont="1" applyFill="1" applyBorder="1"/>
    <xf numFmtId="1" fontId="17" fillId="0" borderId="6" xfId="28" applyNumberFormat="1" applyFont="1" applyFill="1" applyBorder="1" applyAlignment="1">
      <alignment horizontal="left" vertical="center"/>
    </xf>
    <xf numFmtId="1" fontId="17" fillId="0" borderId="6" xfId="28" applyNumberFormat="1" applyFont="1" applyFill="1" applyBorder="1" applyAlignment="1">
      <alignment vertical="center" wrapText="1"/>
    </xf>
    <xf numFmtId="1" fontId="17" fillId="0" borderId="6" xfId="28" applyNumberFormat="1" applyFont="1" applyFill="1" applyBorder="1" applyAlignment="1">
      <alignment vertical="center"/>
    </xf>
    <xf numFmtId="1" fontId="22" fillId="0" borderId="13" xfId="23" applyNumberFormat="1" applyFont="1" applyFill="1" applyBorder="1"/>
    <xf numFmtId="1" fontId="20" fillId="7" borderId="17" xfId="23" applyNumberFormat="1" applyFont="1" applyFill="1" applyBorder="1" applyAlignment="1">
      <alignment horizontal="center"/>
    </xf>
    <xf numFmtId="1" fontId="25" fillId="6" borderId="1" xfId="23" applyNumberFormat="1" applyFont="1" applyFill="1" applyBorder="1" applyAlignment="1">
      <alignment horizontal="center" vertical="center"/>
    </xf>
    <xf numFmtId="1" fontId="20" fillId="0" borderId="1" xfId="28" applyNumberFormat="1" applyFont="1" applyFill="1" applyBorder="1" applyAlignment="1">
      <alignment horizontal="center" vertical="center"/>
    </xf>
    <xf numFmtId="1" fontId="20" fillId="0" borderId="0" xfId="28" applyNumberFormat="1" applyFont="1" applyFill="1" applyBorder="1" applyAlignment="1">
      <alignment horizontal="center" vertical="center"/>
    </xf>
    <xf numFmtId="1" fontId="24" fillId="0" borderId="0" xfId="23" applyNumberFormat="1" applyFont="1" applyFill="1"/>
    <xf numFmtId="2" fontId="22" fillId="0" borderId="10" xfId="23" applyNumberFormat="1" applyFont="1" applyFill="1" applyBorder="1"/>
    <xf numFmtId="2" fontId="22" fillId="0" borderId="0" xfId="23" applyNumberFormat="1" applyFont="1" applyFill="1" applyBorder="1"/>
    <xf numFmtId="2" fontId="17" fillId="0" borderId="0" xfId="23" applyNumberFormat="1" applyFont="1" applyBorder="1" applyAlignment="1">
      <alignment vertical="center"/>
    </xf>
    <xf numFmtId="2" fontId="17" fillId="0" borderId="8" xfId="23" applyNumberFormat="1" applyFont="1" applyBorder="1" applyAlignment="1">
      <alignment vertical="center"/>
    </xf>
    <xf numFmtId="2" fontId="22" fillId="0" borderId="8" xfId="23" applyNumberFormat="1" applyFont="1" applyFill="1" applyBorder="1"/>
    <xf numFmtId="2" fontId="22" fillId="0" borderId="17" xfId="23" applyNumberFormat="1" applyFont="1" applyFill="1" applyBorder="1"/>
    <xf numFmtId="2" fontId="20" fillId="7" borderId="8" xfId="23" applyNumberFormat="1" applyFont="1" applyFill="1" applyBorder="1" applyAlignment="1">
      <alignment horizontal="center"/>
    </xf>
    <xf numFmtId="2" fontId="26" fillId="0" borderId="1" xfId="28" applyNumberFormat="1" applyFont="1" applyFill="1" applyBorder="1" applyAlignment="1">
      <alignment vertical="center"/>
    </xf>
    <xf numFmtId="2" fontId="20" fillId="0" borderId="0" xfId="23" applyNumberFormat="1" applyFont="1" applyBorder="1" applyAlignment="1">
      <alignment horizontal="center" vertical="center"/>
    </xf>
    <xf numFmtId="173" fontId="16" fillId="0" borderId="0" xfId="0" applyFont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vertical="top" wrapText="1"/>
    </xf>
    <xf numFmtId="179" fontId="13" fillId="0" borderId="1" xfId="0" applyNumberFormat="1" applyFont="1" applyBorder="1" applyAlignment="1">
      <alignment horizontal="center" vertical="center" wrapText="1"/>
    </xf>
    <xf numFmtId="179" fontId="22" fillId="0" borderId="1" xfId="0" applyNumberFormat="1" applyFont="1" applyBorder="1" applyAlignment="1">
      <alignment horizontal="center" vertical="center" wrapText="1"/>
    </xf>
    <xf numFmtId="179" fontId="22" fillId="0" borderId="25" xfId="0" applyNumberFormat="1" applyFont="1" applyBorder="1" applyAlignment="1">
      <alignment horizontal="center" vertical="center" wrapText="1"/>
    </xf>
    <xf numFmtId="179" fontId="22" fillId="0" borderId="27" xfId="0" applyNumberFormat="1" applyFont="1" applyBorder="1" applyAlignment="1">
      <alignment horizontal="center" vertical="center" wrapText="1"/>
    </xf>
    <xf numFmtId="179" fontId="22" fillId="0" borderId="0" xfId="0" applyNumberFormat="1" applyFont="1" applyBorder="1" applyAlignment="1">
      <alignment horizontal="center" vertical="center" wrapText="1"/>
    </xf>
    <xf numFmtId="179" fontId="0" fillId="0" borderId="0" xfId="0" applyNumberFormat="1"/>
    <xf numFmtId="173" fontId="16" fillId="0" borderId="1" xfId="23" applyFont="1" applyBorder="1" applyAlignment="1">
      <alignment horizontal="left"/>
    </xf>
    <xf numFmtId="173" fontId="22" fillId="0" borderId="0" xfId="23" applyFont="1" applyBorder="1" applyAlignment="1">
      <alignment horizontal="left"/>
    </xf>
    <xf numFmtId="173" fontId="28" fillId="0" borderId="0" xfId="23" applyFont="1" applyBorder="1" applyAlignment="1">
      <alignment horizontal="center" vertical="center"/>
    </xf>
    <xf numFmtId="173" fontId="13" fillId="0" borderId="15" xfId="23" applyFont="1" applyBorder="1" applyAlignment="1">
      <alignment horizontal="center" vertical="center" wrapText="1"/>
    </xf>
    <xf numFmtId="173" fontId="13" fillId="0" borderId="17" xfId="23" applyFont="1" applyBorder="1" applyAlignment="1">
      <alignment horizontal="center" vertical="center" wrapText="1"/>
    </xf>
    <xf numFmtId="173" fontId="13" fillId="0" borderId="1" xfId="23" applyFont="1" applyBorder="1" applyAlignment="1">
      <alignment horizontal="center" wrapText="1"/>
    </xf>
    <xf numFmtId="10" fontId="16" fillId="0" borderId="1" xfId="23" applyNumberFormat="1" applyFont="1" applyBorder="1" applyAlignment="1">
      <alignment horizontal="left"/>
    </xf>
    <xf numFmtId="10" fontId="22" fillId="0" borderId="0" xfId="23" applyNumberFormat="1" applyFont="1" applyBorder="1" applyAlignment="1">
      <alignment horizontal="left"/>
    </xf>
    <xf numFmtId="173" fontId="16" fillId="0" borderId="3" xfId="23" applyFont="1" applyBorder="1" applyAlignment="1">
      <alignment horizontal="left"/>
    </xf>
    <xf numFmtId="173" fontId="16" fillId="0" borderId="5" xfId="23" applyFont="1" applyBorder="1" applyAlignment="1">
      <alignment horizontal="left"/>
    </xf>
    <xf numFmtId="173" fontId="16" fillId="0" borderId="4" xfId="23" applyFont="1" applyBorder="1" applyAlignment="1">
      <alignment horizontal="left"/>
    </xf>
    <xf numFmtId="173" fontId="16" fillId="0" borderId="3" xfId="23" applyFont="1" applyBorder="1"/>
    <xf numFmtId="173" fontId="16" fillId="0" borderId="5" xfId="23" applyFont="1" applyBorder="1"/>
    <xf numFmtId="173" fontId="16" fillId="0" borderId="4" xfId="23" applyFont="1" applyBorder="1"/>
    <xf numFmtId="173" fontId="22" fillId="0" borderId="0" xfId="23" applyFont="1" applyBorder="1"/>
    <xf numFmtId="173" fontId="16" fillId="0" borderId="0" xfId="23" applyFont="1" applyBorder="1" applyAlignment="1">
      <alignment horizontal="left"/>
    </xf>
    <xf numFmtId="10" fontId="16" fillId="0" borderId="0" xfId="23" applyNumberFormat="1" applyFont="1" applyBorder="1" applyAlignment="1">
      <alignment horizontal="left"/>
    </xf>
    <xf numFmtId="173" fontId="16" fillId="0" borderId="0" xfId="23" applyFont="1" applyBorder="1"/>
    <xf numFmtId="173" fontId="19" fillId="5" borderId="3" xfId="23" applyFont="1" applyFill="1" applyBorder="1" applyAlignment="1">
      <alignment horizontal="center" vertical="center"/>
    </xf>
    <xf numFmtId="173" fontId="19" fillId="5" borderId="5" xfId="23" applyFont="1" applyFill="1" applyBorder="1" applyAlignment="1">
      <alignment horizontal="center" vertical="center"/>
    </xf>
    <xf numFmtId="173" fontId="19" fillId="5" borderId="4" xfId="23" applyFont="1" applyFill="1" applyBorder="1" applyAlignment="1">
      <alignment horizontal="center" vertical="center"/>
    </xf>
    <xf numFmtId="1" fontId="21" fillId="7" borderId="15" xfId="23" applyNumberFormat="1" applyFont="1" applyFill="1" applyBorder="1" applyAlignment="1">
      <alignment horizontal="center" vertical="center"/>
    </xf>
    <xf numFmtId="1" fontId="21" fillId="7" borderId="16" xfId="23" applyNumberFormat="1" applyFont="1" applyFill="1" applyBorder="1" applyAlignment="1">
      <alignment horizontal="center" vertical="center"/>
    </xf>
    <xf numFmtId="173" fontId="21" fillId="7" borderId="15" xfId="23" applyFont="1" applyFill="1" applyBorder="1" applyAlignment="1">
      <alignment horizontal="center" vertical="center"/>
    </xf>
    <xf numFmtId="173" fontId="21" fillId="7" borderId="16" xfId="23" applyFont="1" applyFill="1" applyBorder="1" applyAlignment="1">
      <alignment horizontal="center" vertical="center"/>
    </xf>
    <xf numFmtId="2" fontId="21" fillId="7" borderId="15" xfId="23" applyNumberFormat="1" applyFont="1" applyFill="1" applyBorder="1" applyAlignment="1">
      <alignment horizontal="center" vertical="center"/>
    </xf>
    <xf numFmtId="2" fontId="21" fillId="7" borderId="16" xfId="23" applyNumberFormat="1" applyFont="1" applyFill="1" applyBorder="1" applyAlignment="1">
      <alignment horizontal="center" vertical="center"/>
    </xf>
    <xf numFmtId="2" fontId="21" fillId="7" borderId="15" xfId="23" applyNumberFormat="1" applyFont="1" applyFill="1" applyBorder="1" applyAlignment="1">
      <alignment horizontal="center" vertical="center" wrapText="1"/>
    </xf>
    <xf numFmtId="2" fontId="21" fillId="7" borderId="16" xfId="23" applyNumberFormat="1" applyFont="1" applyFill="1" applyBorder="1" applyAlignment="1">
      <alignment horizontal="center" vertical="center" wrapText="1"/>
    </xf>
    <xf numFmtId="173" fontId="21" fillId="7" borderId="18" xfId="23" applyFont="1" applyFill="1" applyBorder="1" applyAlignment="1">
      <alignment horizontal="center" vertical="center"/>
    </xf>
    <xf numFmtId="173" fontId="21" fillId="7" borderId="19" xfId="23" applyFont="1" applyFill="1" applyBorder="1" applyAlignment="1">
      <alignment horizontal="center" vertical="center"/>
    </xf>
    <xf numFmtId="173" fontId="21" fillId="7" borderId="20" xfId="23" applyFont="1" applyFill="1" applyBorder="1" applyAlignment="1">
      <alignment horizontal="center" vertical="center"/>
    </xf>
    <xf numFmtId="173" fontId="21" fillId="7" borderId="15" xfId="23" applyFont="1" applyFill="1" applyBorder="1" applyAlignment="1">
      <alignment horizontal="center" vertical="center" wrapText="1"/>
    </xf>
    <xf numFmtId="173" fontId="21" fillId="7" borderId="16" xfId="23" applyFont="1" applyFill="1" applyBorder="1" applyAlignment="1">
      <alignment horizontal="center" vertical="center" wrapText="1"/>
    </xf>
    <xf numFmtId="173" fontId="21" fillId="7" borderId="21" xfId="23" applyFont="1" applyFill="1" applyBorder="1" applyAlignment="1">
      <alignment horizontal="center" vertical="center"/>
    </xf>
    <xf numFmtId="173" fontId="21" fillId="7" borderId="22" xfId="23" applyFont="1" applyFill="1" applyBorder="1" applyAlignment="1">
      <alignment horizontal="center" vertical="center"/>
    </xf>
    <xf numFmtId="173" fontId="21" fillId="7" borderId="7" xfId="23" applyFont="1" applyFill="1" applyBorder="1" applyAlignment="1">
      <alignment horizontal="center" vertical="center"/>
    </xf>
    <xf numFmtId="173" fontId="21" fillId="7" borderId="6" xfId="23" applyFont="1" applyFill="1" applyBorder="1" applyAlignment="1">
      <alignment horizontal="center" vertical="center"/>
    </xf>
    <xf numFmtId="173" fontId="17" fillId="6" borderId="7" xfId="23" applyFont="1" applyFill="1" applyBorder="1" applyAlignment="1">
      <alignment horizontal="center" vertical="center"/>
    </xf>
    <xf numFmtId="173" fontId="17" fillId="6" borderId="13" xfId="23" applyFont="1" applyFill="1" applyBorder="1" applyAlignment="1">
      <alignment horizontal="center" vertical="center"/>
    </xf>
    <xf numFmtId="173" fontId="17" fillId="7" borderId="15" xfId="23" applyFont="1" applyFill="1" applyBorder="1" applyAlignment="1">
      <alignment horizontal="center" vertical="center" wrapText="1"/>
    </xf>
    <xf numFmtId="173" fontId="17" fillId="7" borderId="16" xfId="23" applyFont="1" applyFill="1" applyBorder="1" applyAlignment="1">
      <alignment horizontal="center" vertical="center" wrapText="1"/>
    </xf>
    <xf numFmtId="173" fontId="17" fillId="7" borderId="15" xfId="23" applyFont="1" applyFill="1" applyBorder="1" applyAlignment="1">
      <alignment horizontal="center" vertical="center"/>
    </xf>
    <xf numFmtId="173" fontId="17" fillId="7" borderId="16" xfId="23" applyFont="1" applyFill="1" applyBorder="1" applyAlignment="1">
      <alignment horizontal="center" vertical="center"/>
    </xf>
    <xf numFmtId="173" fontId="17" fillId="7" borderId="7" xfId="23" applyFont="1" applyFill="1" applyBorder="1" applyAlignment="1">
      <alignment horizontal="center" vertical="center" wrapText="1"/>
    </xf>
    <xf numFmtId="173" fontId="17" fillId="7" borderId="6" xfId="23" applyFont="1" applyFill="1" applyBorder="1" applyAlignment="1">
      <alignment horizontal="center" vertical="center" wrapText="1"/>
    </xf>
    <xf numFmtId="173" fontId="17" fillId="7" borderId="17" xfId="23" applyFont="1" applyFill="1" applyBorder="1" applyAlignment="1">
      <alignment horizontal="center" vertical="center" wrapText="1"/>
    </xf>
    <xf numFmtId="173" fontId="32" fillId="0" borderId="0" xfId="30" applyFont="1" applyAlignment="1">
      <alignment horizontal="center" vertical="center"/>
    </xf>
    <xf numFmtId="173" fontId="3" fillId="0" borderId="15" xfId="30" applyFont="1" applyBorder="1" applyAlignment="1">
      <alignment horizontal="center" vertical="center" wrapText="1"/>
    </xf>
    <xf numFmtId="173" fontId="3" fillId="0" borderId="17" xfId="30" applyFont="1" applyBorder="1" applyAlignment="1">
      <alignment horizontal="center" vertical="center" wrapText="1"/>
    </xf>
    <xf numFmtId="173" fontId="3" fillId="0" borderId="3" xfId="30" applyBorder="1" applyAlignment="1">
      <alignment horizontal="center" vertical="center"/>
    </xf>
    <xf numFmtId="173" fontId="3" fillId="0" borderId="5" xfId="30" applyBorder="1" applyAlignment="1">
      <alignment horizontal="center" vertical="center"/>
    </xf>
    <xf numFmtId="173" fontId="3" fillId="0" borderId="4" xfId="30" applyBorder="1" applyAlignment="1">
      <alignment horizontal="center" vertical="center"/>
    </xf>
    <xf numFmtId="173" fontId="3" fillId="0" borderId="10" xfId="30" applyBorder="1" applyAlignment="1">
      <alignment horizontal="left" vertical="center"/>
    </xf>
    <xf numFmtId="173" fontId="3" fillId="0" borderId="7" xfId="30" applyBorder="1" applyAlignment="1">
      <alignment horizontal="left" vertical="center"/>
    </xf>
    <xf numFmtId="173" fontId="3" fillId="0" borderId="11" xfId="30" applyBorder="1" applyAlignment="1">
      <alignment horizontal="left" vertical="center"/>
    </xf>
    <xf numFmtId="173" fontId="3" fillId="0" borderId="0" xfId="30" applyBorder="1" applyAlignment="1">
      <alignment horizontal="left" vertical="center"/>
    </xf>
    <xf numFmtId="173" fontId="3" fillId="0" borderId="6" xfId="30" applyBorder="1" applyAlignment="1">
      <alignment horizontal="left" vertical="center"/>
    </xf>
    <xf numFmtId="173" fontId="3" fillId="0" borderId="12" xfId="30" applyBorder="1" applyAlignment="1">
      <alignment horizontal="left" vertical="center"/>
    </xf>
    <xf numFmtId="173" fontId="3" fillId="0" borderId="8" xfId="30" applyBorder="1" applyAlignment="1">
      <alignment horizontal="left" vertical="center"/>
    </xf>
    <xf numFmtId="173" fontId="3" fillId="0" borderId="13" xfId="30" applyBorder="1" applyAlignment="1">
      <alignment horizontal="left" vertical="center"/>
    </xf>
    <xf numFmtId="173" fontId="3" fillId="0" borderId="14" xfId="30" applyBorder="1" applyAlignment="1">
      <alignment horizontal="left" vertical="center"/>
    </xf>
    <xf numFmtId="173" fontId="3" fillId="0" borderId="13" xfId="30" applyBorder="1" applyAlignment="1">
      <alignment horizontal="center" vertical="center"/>
    </xf>
    <xf numFmtId="173" fontId="3" fillId="0" borderId="8" xfId="30" applyBorder="1" applyAlignment="1">
      <alignment horizontal="center" vertical="center"/>
    </xf>
    <xf numFmtId="173" fontId="3" fillId="0" borderId="14" xfId="30" applyBorder="1" applyAlignment="1">
      <alignment horizontal="center" vertical="center"/>
    </xf>
    <xf numFmtId="173" fontId="3" fillId="0" borderId="6" xfId="30" applyBorder="1" applyAlignment="1">
      <alignment horizontal="left"/>
    </xf>
    <xf numFmtId="173" fontId="3" fillId="0" borderId="0" xfId="30" applyBorder="1" applyAlignment="1">
      <alignment horizontal="left"/>
    </xf>
    <xf numFmtId="173" fontId="3" fillId="0" borderId="12" xfId="30" applyBorder="1" applyAlignment="1">
      <alignment horizontal="left"/>
    </xf>
    <xf numFmtId="173" fontId="3" fillId="0" borderId="13" xfId="30" applyBorder="1" applyAlignment="1">
      <alignment horizontal="left"/>
    </xf>
    <xf numFmtId="173" fontId="3" fillId="0" borderId="8" xfId="30" applyBorder="1" applyAlignment="1">
      <alignment horizontal="left"/>
    </xf>
    <xf numFmtId="173" fontId="3" fillId="0" borderId="14" xfId="30" applyBorder="1" applyAlignment="1">
      <alignment horizontal="left"/>
    </xf>
    <xf numFmtId="173" fontId="18" fillId="0" borderId="10" xfId="21" applyBorder="1" applyAlignment="1" applyProtection="1">
      <alignment horizontal="left" vertical="center"/>
    </xf>
    <xf numFmtId="173" fontId="18" fillId="0" borderId="0" xfId="21" applyBorder="1" applyAlignment="1" applyProtection="1">
      <alignment horizontal="left" vertical="center"/>
    </xf>
    <xf numFmtId="173" fontId="37" fillId="0" borderId="6" xfId="30" applyFont="1" applyBorder="1" applyAlignment="1">
      <alignment horizontal="left" vertical="center"/>
    </xf>
    <xf numFmtId="173" fontId="37" fillId="0" borderId="0" xfId="30" applyFont="1" applyBorder="1" applyAlignment="1">
      <alignment horizontal="left" vertical="center"/>
    </xf>
    <xf numFmtId="173" fontId="37" fillId="0" borderId="6" xfId="30" applyFont="1" applyBorder="1" applyAlignment="1">
      <alignment horizontal="left" vertical="center" wrapText="1"/>
    </xf>
    <xf numFmtId="173" fontId="37" fillId="0" borderId="0" xfId="30" applyFont="1" applyBorder="1" applyAlignment="1">
      <alignment horizontal="left" vertical="center" wrapText="1"/>
    </xf>
    <xf numFmtId="173" fontId="37" fillId="0" borderId="12" xfId="30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right" vertical="center" wrapText="1"/>
    </xf>
    <xf numFmtId="173" fontId="19" fillId="2" borderId="0" xfId="0" applyFont="1" applyFill="1" applyBorder="1" applyAlignment="1">
      <alignment horizontal="center" vertical="center"/>
    </xf>
    <xf numFmtId="173" fontId="17" fillId="5" borderId="7" xfId="0" applyFont="1" applyFill="1" applyBorder="1" applyAlignment="1">
      <alignment horizontal="left" vertical="center" wrapText="1"/>
    </xf>
    <xf numFmtId="173" fontId="17" fillId="5" borderId="10" xfId="0" applyFont="1" applyFill="1" applyBorder="1" applyAlignment="1">
      <alignment horizontal="left" vertical="center" wrapText="1"/>
    </xf>
    <xf numFmtId="173" fontId="17" fillId="5" borderId="11" xfId="0" applyFont="1" applyFill="1" applyBorder="1" applyAlignment="1">
      <alignment horizontal="left" vertical="center" wrapText="1"/>
    </xf>
    <xf numFmtId="173" fontId="17" fillId="5" borderId="6" xfId="0" applyFont="1" applyFill="1" applyBorder="1" applyAlignment="1">
      <alignment horizontal="left" vertical="center" wrapText="1"/>
    </xf>
    <xf numFmtId="173" fontId="17" fillId="5" borderId="0" xfId="0" applyFont="1" applyFill="1" applyBorder="1" applyAlignment="1">
      <alignment horizontal="left" vertical="center" wrapText="1"/>
    </xf>
    <xf numFmtId="173" fontId="17" fillId="5" borderId="12" xfId="0" applyFont="1" applyFill="1" applyBorder="1" applyAlignment="1">
      <alignment horizontal="left" vertical="center" wrapText="1"/>
    </xf>
    <xf numFmtId="173" fontId="17" fillId="5" borderId="13" xfId="0" applyFont="1" applyFill="1" applyBorder="1" applyAlignment="1">
      <alignment horizontal="left" vertical="center" wrapText="1"/>
    </xf>
    <xf numFmtId="173" fontId="17" fillId="5" borderId="8" xfId="0" applyFont="1" applyFill="1" applyBorder="1" applyAlignment="1">
      <alignment horizontal="left" vertical="center" wrapText="1"/>
    </xf>
    <xf numFmtId="173" fontId="17" fillId="5" borderId="14" xfId="0" applyFont="1" applyFill="1" applyBorder="1" applyAlignment="1">
      <alignment horizontal="left" vertical="center" wrapText="1"/>
    </xf>
    <xf numFmtId="1" fontId="17" fillId="0" borderId="16" xfId="0" applyNumberFormat="1" applyFont="1" applyBorder="1" applyAlignment="1">
      <alignment horizontal="center" vertical="center" wrapText="1"/>
    </xf>
    <xf numFmtId="1" fontId="17" fillId="0" borderId="17" xfId="0" applyNumberFormat="1" applyFont="1" applyBorder="1" applyAlignment="1">
      <alignment horizontal="center" vertical="center" wrapText="1"/>
    </xf>
    <xf numFmtId="173" fontId="17" fillId="0" borderId="0" xfId="0" applyFont="1" applyAlignment="1">
      <alignment horizontal="left" vertical="center" wrapText="1"/>
    </xf>
    <xf numFmtId="173" fontId="17" fillId="0" borderId="0" xfId="0" applyFont="1" applyAlignment="1">
      <alignment vertical="center" wrapText="1"/>
    </xf>
    <xf numFmtId="1" fontId="16" fillId="0" borderId="1" xfId="0" applyNumberFormat="1" applyFont="1" applyBorder="1" applyAlignment="1">
      <alignment horizontal="center" vertical="center"/>
    </xf>
    <xf numFmtId="173" fontId="17" fillId="0" borderId="1" xfId="0" applyFont="1" applyBorder="1" applyAlignment="1">
      <alignment horizontal="left" vertical="center"/>
    </xf>
    <xf numFmtId="173" fontId="16" fillId="0" borderId="1" xfId="0" applyFont="1" applyBorder="1" applyAlignment="1">
      <alignment horizontal="center" vertical="center"/>
    </xf>
    <xf numFmtId="173" fontId="17" fillId="0" borderId="10" xfId="0" applyFont="1" applyBorder="1" applyAlignment="1">
      <alignment horizontal="center" vertical="center" wrapText="1"/>
    </xf>
    <xf numFmtId="173" fontId="17" fillId="0" borderId="8" xfId="0" applyFont="1" applyBorder="1" applyAlignment="1">
      <alignment horizontal="center" vertical="center" wrapText="1"/>
    </xf>
    <xf numFmtId="170" fontId="17" fillId="0" borderId="23" xfId="0" applyNumberFormat="1" applyFont="1" applyBorder="1" applyAlignment="1">
      <alignment horizontal="center" vertical="center" wrapText="1"/>
    </xf>
    <xf numFmtId="170" fontId="17" fillId="0" borderId="24" xfId="0" applyNumberFormat="1" applyFont="1" applyBorder="1" applyAlignment="1">
      <alignment horizontal="center" vertical="center" wrapText="1"/>
    </xf>
    <xf numFmtId="173" fontId="16" fillId="0" borderId="0" xfId="0" applyFont="1" applyAlignment="1">
      <alignment horizontal="center" vertical="center"/>
    </xf>
    <xf numFmtId="173" fontId="19" fillId="0" borderId="3" xfId="0" applyFont="1" applyBorder="1" applyAlignment="1">
      <alignment horizontal="left"/>
    </xf>
    <xf numFmtId="173" fontId="19" fillId="0" borderId="4" xfId="0" applyFont="1" applyBorder="1" applyAlignment="1">
      <alignment horizontal="left"/>
    </xf>
    <xf numFmtId="173" fontId="21" fillId="5" borderId="15" xfId="0" applyFont="1" applyFill="1" applyBorder="1" applyAlignment="1">
      <alignment horizontal="center" vertical="center"/>
    </xf>
    <xf numFmtId="173" fontId="21" fillId="5" borderId="17" xfId="0" applyFont="1" applyFill="1" applyBorder="1" applyAlignment="1">
      <alignment horizontal="center" vertical="center"/>
    </xf>
    <xf numFmtId="173" fontId="21" fillId="5" borderId="7" xfId="0" applyFont="1" applyFill="1" applyBorder="1" applyAlignment="1">
      <alignment horizontal="center" vertical="center"/>
    </xf>
    <xf numFmtId="173" fontId="21" fillId="5" borderId="13" xfId="0" applyFont="1" applyFill="1" applyBorder="1" applyAlignment="1">
      <alignment horizontal="center" vertical="center"/>
    </xf>
    <xf numFmtId="173" fontId="21" fillId="5" borderId="3" xfId="0" applyFont="1" applyFill="1" applyBorder="1" applyAlignment="1">
      <alignment horizontal="center"/>
    </xf>
    <xf numFmtId="173" fontId="21" fillId="5" borderId="5" xfId="0" applyFont="1" applyFill="1" applyBorder="1" applyAlignment="1">
      <alignment horizontal="center"/>
    </xf>
    <xf numFmtId="173" fontId="21" fillId="5" borderId="4" xfId="0" applyFont="1" applyFill="1" applyBorder="1" applyAlignment="1">
      <alignment horizontal="center"/>
    </xf>
    <xf numFmtId="173" fontId="39" fillId="0" borderId="5" xfId="0" applyFont="1" applyBorder="1" applyAlignment="1">
      <alignment horizontal="center" vertical="center" wrapText="1"/>
    </xf>
    <xf numFmtId="173" fontId="39" fillId="0" borderId="1" xfId="0" applyFont="1" applyBorder="1" applyAlignment="1">
      <alignment horizontal="center" vertical="center" wrapText="1"/>
    </xf>
    <xf numFmtId="173" fontId="5" fillId="2" borderId="0" xfId="0" applyFont="1" applyFill="1" applyBorder="1" applyAlignment="1">
      <alignment horizontal="center" vertical="center"/>
    </xf>
  </cellXfs>
  <cellStyles count="31">
    <cellStyle name="Cabecera 1" xfId="1"/>
    <cellStyle name="Cabecera 2" xfId="2"/>
    <cellStyle name="Comma_PLANILLA" xfId="3"/>
    <cellStyle name="Currency [0]_8003 - 8004 Procurement Plan modified 7-30-99" xfId="4"/>
    <cellStyle name="Currency_8003 - 8004 Procurement Plan modified 7-30-99" xfId="5"/>
    <cellStyle name="ENCABEZ" xfId="6"/>
    <cellStyle name="Euro" xfId="7"/>
    <cellStyle name="Fecha" xfId="8"/>
    <cellStyle name="Fijo" xfId="9"/>
    <cellStyle name="Hipervínculo 2" xfId="21"/>
    <cellStyle name="Millares" xfId="10" builtinId="3"/>
    <cellStyle name="Millares (0)" xfId="11"/>
    <cellStyle name="Moneda [0]_Sistema cloacal Epuyen Básica 2" xfId="24"/>
    <cellStyle name="Moneda 2" xfId="12"/>
    <cellStyle name="Moneda 3" xfId="13"/>
    <cellStyle name="Monetario0" xfId="14"/>
    <cellStyle name="Normal" xfId="0" builtinId="0"/>
    <cellStyle name="Normal 2" xfId="15"/>
    <cellStyle name="Normal 2 2" xfId="25"/>
    <cellStyle name="Normal 2 2 2" xfId="30"/>
    <cellStyle name="Normal 2 3" xfId="28"/>
    <cellStyle name="Normal 3" xfId="23"/>
    <cellStyle name="PLANILLA" xfId="16"/>
    <cellStyle name="PORCENT" xfId="17"/>
    <cellStyle name="Porcentual" xfId="22" builtinId="5"/>
    <cellStyle name="Porcentual 2" xfId="18"/>
    <cellStyle name="Porcentual 2 2" xfId="29"/>
    <cellStyle name="Porcentual 3" xfId="26"/>
    <cellStyle name="Porcentual 4" xfId="27"/>
    <cellStyle name="Punto0" xfId="19"/>
    <cellStyle name="Total" xfId="20" builtinId="25" customBuilti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>
        <c:manualLayout>
          <c:layoutTarget val="inner"/>
          <c:xMode val="edge"/>
          <c:yMode val="edge"/>
          <c:x val="0"/>
          <c:y val="3.4031457112362405E-2"/>
          <c:w val="0.94198039888202056"/>
          <c:h val="0.8979069068877135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'Plan de Trabajos'!$D$45:$W$45</c:f>
              <c:numCache>
                <c:formatCode>0.00%</c:formatCode>
                <c:ptCount val="20"/>
                <c:pt idx="0" formatCode="_ [$$-2C0A]\ * #,##0.00_ ;_ [$$-2C0A]\ * \-#,##0.00_ ;_ [$$-2C0A]\ * &quot;-&quot;??_ ;_ @_ ">
                  <c:v>0</c:v>
                </c:pt>
                <c:pt idx="1">
                  <c:v>2.0084025230690205E-2</c:v>
                </c:pt>
                <c:pt idx="2">
                  <c:v>4.016805046138041E-2</c:v>
                </c:pt>
                <c:pt idx="3">
                  <c:v>6.8821865880645774E-2</c:v>
                </c:pt>
                <c:pt idx="4">
                  <c:v>0.11586460810128867</c:v>
                </c:pt>
                <c:pt idx="5">
                  <c:v>0.16708218185130724</c:v>
                </c:pt>
                <c:pt idx="6">
                  <c:v>0.23094055487095194</c:v>
                </c:pt>
                <c:pt idx="7">
                  <c:v>0.29829470719972384</c:v>
                </c:pt>
                <c:pt idx="8">
                  <c:v>0.3793922957618277</c:v>
                </c:pt>
                <c:pt idx="9">
                  <c:v>0.463403074014339</c:v>
                </c:pt>
                <c:pt idx="10">
                  <c:v>0.54950468190772805</c:v>
                </c:pt>
                <c:pt idx="11">
                  <c:v>0.63959407408251301</c:v>
                </c:pt>
                <c:pt idx="12">
                  <c:v>0.72534561238734696</c:v>
                </c:pt>
                <c:pt idx="13">
                  <c:v>0.79948268206221296</c:v>
                </c:pt>
                <c:pt idx="14">
                  <c:v>0.87120974303987508</c:v>
                </c:pt>
                <c:pt idx="15">
                  <c:v>0.92733203540889741</c:v>
                </c:pt>
                <c:pt idx="16">
                  <c:v>0.97316836463771927</c:v>
                </c:pt>
                <c:pt idx="17">
                  <c:v>0.99415340727233859</c:v>
                </c:pt>
                <c:pt idx="18">
                  <c:v>1.0000000000000002</c:v>
                </c:pt>
                <c:pt idx="19">
                  <c:v>1.0000000000000002</c:v>
                </c:pt>
              </c:numCache>
            </c:numRef>
          </c:val>
        </c:ser>
        <c:marker val="1"/>
        <c:axId val="97567872"/>
        <c:axId val="97569408"/>
      </c:lineChart>
      <c:catAx>
        <c:axId val="97567872"/>
        <c:scaling>
          <c:orientation val="minMax"/>
        </c:scaling>
        <c:axPos val="b"/>
        <c:tickLblPos val="none"/>
        <c:spPr>
          <a:ln w="3175">
            <a:solidFill>
              <a:srgbClr val="000000"/>
            </a:solidFill>
            <a:prstDash val="solid"/>
          </a:ln>
        </c:spPr>
        <c:crossAx val="97569408"/>
        <c:crosses val="autoZero"/>
        <c:auto val="1"/>
        <c:lblAlgn val="ctr"/>
        <c:lblOffset val="100"/>
        <c:tickMarkSkip val="1"/>
      </c:catAx>
      <c:valAx>
        <c:axId val="97569408"/>
        <c:scaling>
          <c:orientation val="minMax"/>
          <c:max val="1"/>
        </c:scaling>
        <c:axPos val="r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97567872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533" r="0.75000000000000533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scatterChart>
        <c:scatterStyle val="smoothMarker"/>
        <c:ser>
          <c:idx val="0"/>
          <c:order val="0"/>
          <c:tx>
            <c:v>Avance físico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'Plan de Trabajos'!#REF!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'Plan de Trabajos'!#REF!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Mínimo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'Plan de Trabajos'!#REF!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'Plan de Trabajos'!#REF!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Máximo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'Plan de Trabajos'!#REF!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'Plan de Trabajos'!#REF!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axId val="97700864"/>
        <c:axId val="97981184"/>
      </c:scatterChart>
      <c:valAx>
        <c:axId val="97700864"/>
        <c:scaling>
          <c:orientation val="minMax"/>
          <c:max val="12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97981184"/>
        <c:crosses val="autoZero"/>
        <c:crossBetween val="midCat"/>
        <c:majorUnit val="1"/>
      </c:valAx>
      <c:valAx>
        <c:axId val="97981184"/>
        <c:scaling>
          <c:orientation val="minMax"/>
          <c:max val="1"/>
        </c:scaling>
        <c:axPos val="r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97700864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533" r="0.750000000000005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15</xdr:col>
      <xdr:colOff>371475</xdr:colOff>
      <xdr:row>0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925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15</xdr:col>
      <xdr:colOff>371475</xdr:colOff>
      <xdr:row>0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925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15</xdr:col>
      <xdr:colOff>371475</xdr:colOff>
      <xdr:row>0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925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15</xdr:col>
      <xdr:colOff>371475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0"/>
          <a:ext cx="9258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38100</xdr:rowOff>
    </xdr:from>
    <xdr:to>
      <xdr:col>7</xdr:col>
      <xdr:colOff>534778</xdr:colOff>
      <xdr:row>4</xdr:row>
      <xdr:rowOff>128587</xdr:rowOff>
    </xdr:to>
    <xdr:grpSp>
      <xdr:nvGrpSpPr>
        <xdr:cNvPr id="6" name="Group 5"/>
        <xdr:cNvGrpSpPr>
          <a:grpSpLocks/>
        </xdr:cNvGrpSpPr>
      </xdr:nvGrpSpPr>
      <xdr:grpSpPr bwMode="auto">
        <a:xfrm>
          <a:off x="19050" y="38100"/>
          <a:ext cx="5182978" cy="776287"/>
          <a:chOff x="112" y="156"/>
          <a:chExt cx="519" cy="129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112" y="196"/>
            <a:ext cx="458" cy="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Av. Alvear N° 1448 - Esquel - Chubut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Tel/Fax (02945)451003 E-Mail: administracionpasquini@speedy.com.ar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C.U.I.T 30-67034174-3 L.C. N° 03117 I.B. 01091  I.E.R.I.C. N° 73589 4</a:t>
            </a:r>
          </a:p>
          <a:p>
            <a:pPr algn="l" rtl="1">
              <a:defRPr sz="1000"/>
            </a:pPr>
            <a:endParaRPr lang="es-AR" sz="1000" b="1" i="0" strike="noStrike">
              <a:solidFill>
                <a:srgbClr val="000000"/>
              </a:solidFill>
              <a:latin typeface="Swis721 Ex BT"/>
            </a:endParaRPr>
          </a:p>
        </xdr:txBody>
      </xdr:sp>
      <xdr:grpSp>
        <xdr:nvGrpSpPr>
          <xdr:cNvPr id="8" name="Group 7"/>
          <xdr:cNvGrpSpPr>
            <a:grpSpLocks/>
          </xdr:cNvGrpSpPr>
        </xdr:nvGrpSpPr>
        <xdr:grpSpPr bwMode="auto">
          <a:xfrm>
            <a:off x="116" y="156"/>
            <a:ext cx="515" cy="129"/>
            <a:chOff x="116" y="156"/>
            <a:chExt cx="515" cy="129"/>
          </a:xfrm>
        </xdr:grpSpPr>
        <xdr:sp macro="" textlink="">
          <xdr:nvSpPr>
            <xdr:cNvPr id="9" name="Freeform 8"/>
            <xdr:cNvSpPr>
              <a:spLocks noEditPoints="1"/>
            </xdr:cNvSpPr>
          </xdr:nvSpPr>
          <xdr:spPr bwMode="auto">
            <a:xfrm>
              <a:off x="11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9 w 21"/>
                <a:gd name="T5" fmla="*/ 24 h 25"/>
                <a:gd name="T6" fmla="*/ 10 w 21"/>
                <a:gd name="T7" fmla="*/ 25 h 25"/>
                <a:gd name="T8" fmla="*/ 0 w 21"/>
                <a:gd name="T9" fmla="*/ 24 h 25"/>
                <a:gd name="T10" fmla="*/ 1 w 21"/>
                <a:gd name="T11" fmla="*/ 24 h 25"/>
                <a:gd name="T12" fmla="*/ 3 w 21"/>
                <a:gd name="T13" fmla="*/ 24 h 25"/>
                <a:gd name="T14" fmla="*/ 3 w 21"/>
                <a:gd name="T15" fmla="*/ 21 h 25"/>
                <a:gd name="T16" fmla="*/ 8 w 21"/>
                <a:gd name="T17" fmla="*/ 3 h 25"/>
                <a:gd name="T18" fmla="*/ 7 w 21"/>
                <a:gd name="T19" fmla="*/ 2 h 25"/>
                <a:gd name="T20" fmla="*/ 6 w 21"/>
                <a:gd name="T21" fmla="*/ 0 h 25"/>
                <a:gd name="T22" fmla="*/ 15 w 21"/>
                <a:gd name="T23" fmla="*/ 0 h 25"/>
                <a:gd name="T24" fmla="*/ 16 w 21"/>
                <a:gd name="T25" fmla="*/ 0 h 25"/>
                <a:gd name="T26" fmla="*/ 18 w 21"/>
                <a:gd name="T27" fmla="*/ 2 h 25"/>
                <a:gd name="T28" fmla="*/ 19 w 21"/>
                <a:gd name="T29" fmla="*/ 3 h 25"/>
                <a:gd name="T30" fmla="*/ 20 w 21"/>
                <a:gd name="T31" fmla="*/ 5 h 25"/>
                <a:gd name="T32" fmla="*/ 21 w 21"/>
                <a:gd name="T33" fmla="*/ 6 h 25"/>
                <a:gd name="T34" fmla="*/ 21 w 21"/>
                <a:gd name="T35" fmla="*/ 9 h 25"/>
                <a:gd name="T36" fmla="*/ 20 w 21"/>
                <a:gd name="T37" fmla="*/ 11 h 25"/>
                <a:gd name="T38" fmla="*/ 19 w 21"/>
                <a:gd name="T39" fmla="*/ 12 h 25"/>
                <a:gd name="T40" fmla="*/ 17 w 21"/>
                <a:gd name="T41" fmla="*/ 13 h 25"/>
                <a:gd name="T42" fmla="*/ 15 w 21"/>
                <a:gd name="T43" fmla="*/ 13 h 25"/>
                <a:gd name="T44" fmla="*/ 14 w 21"/>
                <a:gd name="T45" fmla="*/ 13 h 25"/>
                <a:gd name="T46" fmla="*/ 12 w 21"/>
                <a:gd name="T47" fmla="*/ 13 h 25"/>
                <a:gd name="T48" fmla="*/ 10 w 21"/>
                <a:gd name="T49" fmla="*/ 13 h 25"/>
                <a:gd name="T50" fmla="*/ 10 w 21"/>
                <a:gd name="T51" fmla="*/ 13 h 25"/>
                <a:gd name="T52" fmla="*/ 12 w 21"/>
                <a:gd name="T53" fmla="*/ 13 h 25"/>
                <a:gd name="T54" fmla="*/ 14 w 21"/>
                <a:gd name="T55" fmla="*/ 12 h 25"/>
                <a:gd name="T56" fmla="*/ 15 w 21"/>
                <a:gd name="T57" fmla="*/ 11 h 25"/>
                <a:gd name="T58" fmla="*/ 16 w 21"/>
                <a:gd name="T59" fmla="*/ 8 h 25"/>
                <a:gd name="T60" fmla="*/ 16 w 21"/>
                <a:gd name="T61" fmla="*/ 5 h 25"/>
                <a:gd name="T62" fmla="*/ 15 w 21"/>
                <a:gd name="T63" fmla="*/ 2 h 25"/>
                <a:gd name="T64" fmla="*/ 14 w 21"/>
                <a:gd name="T65" fmla="*/ 2 h 25"/>
                <a:gd name="T66" fmla="*/ 10 w 21"/>
                <a:gd name="T67" fmla="*/ 13 h 25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1"/>
                <a:gd name="T103" fmla="*/ 0 h 25"/>
                <a:gd name="T104" fmla="*/ 21 w 21"/>
                <a:gd name="T105" fmla="*/ 25 h 25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1" h="25">
                  <a:moveTo>
                    <a:pt x="9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8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lnTo>
                    <a:pt x="9" y="13"/>
                  </a:lnTo>
                  <a:close/>
                  <a:moveTo>
                    <a:pt x="10" y="13"/>
                  </a:moveTo>
                  <a:lnTo>
                    <a:pt x="11" y="13"/>
                  </a:lnTo>
                  <a:lnTo>
                    <a:pt x="12" y="13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3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0" name="Freeform 9"/>
            <xdr:cNvSpPr>
              <a:spLocks noEditPoints="1"/>
            </xdr:cNvSpPr>
          </xdr:nvSpPr>
          <xdr:spPr bwMode="auto">
            <a:xfrm>
              <a:off x="133" y="156"/>
              <a:ext cx="20" cy="25"/>
            </a:xfrm>
            <a:custGeom>
              <a:avLst/>
              <a:gdLst>
                <a:gd name="T0" fmla="*/ 14 w 20"/>
                <a:gd name="T1" fmla="*/ 16 h 25"/>
                <a:gd name="T2" fmla="*/ 7 w 20"/>
                <a:gd name="T3" fmla="*/ 16 h 25"/>
                <a:gd name="T4" fmla="*/ 6 w 20"/>
                <a:gd name="T5" fmla="*/ 19 h 25"/>
                <a:gd name="T6" fmla="*/ 4 w 20"/>
                <a:gd name="T7" fmla="*/ 21 h 25"/>
                <a:gd name="T8" fmla="*/ 3 w 20"/>
                <a:gd name="T9" fmla="*/ 22 h 25"/>
                <a:gd name="T10" fmla="*/ 3 w 20"/>
                <a:gd name="T11" fmla="*/ 24 h 25"/>
                <a:gd name="T12" fmla="*/ 4 w 20"/>
                <a:gd name="T13" fmla="*/ 24 h 25"/>
                <a:gd name="T14" fmla="*/ 5 w 20"/>
                <a:gd name="T15" fmla="*/ 24 h 25"/>
                <a:gd name="T16" fmla="*/ 5 w 20"/>
                <a:gd name="T17" fmla="*/ 25 h 25"/>
                <a:gd name="T18" fmla="*/ 0 w 20"/>
                <a:gd name="T19" fmla="*/ 25 h 25"/>
                <a:gd name="T20" fmla="*/ 0 w 20"/>
                <a:gd name="T21" fmla="*/ 24 h 25"/>
                <a:gd name="T22" fmla="*/ 0 w 20"/>
                <a:gd name="T23" fmla="*/ 24 h 25"/>
                <a:gd name="T24" fmla="*/ 1 w 20"/>
                <a:gd name="T25" fmla="*/ 24 h 25"/>
                <a:gd name="T26" fmla="*/ 2 w 20"/>
                <a:gd name="T27" fmla="*/ 22 h 25"/>
                <a:gd name="T28" fmla="*/ 3 w 20"/>
                <a:gd name="T29" fmla="*/ 21 h 25"/>
                <a:gd name="T30" fmla="*/ 17 w 20"/>
                <a:gd name="T31" fmla="*/ 0 h 25"/>
                <a:gd name="T32" fmla="*/ 18 w 20"/>
                <a:gd name="T33" fmla="*/ 0 h 25"/>
                <a:gd name="T34" fmla="*/ 18 w 20"/>
                <a:gd name="T35" fmla="*/ 19 h 25"/>
                <a:gd name="T36" fmla="*/ 18 w 20"/>
                <a:gd name="T37" fmla="*/ 21 h 25"/>
                <a:gd name="T38" fmla="*/ 18 w 20"/>
                <a:gd name="T39" fmla="*/ 22 h 25"/>
                <a:gd name="T40" fmla="*/ 18 w 20"/>
                <a:gd name="T41" fmla="*/ 24 h 25"/>
                <a:gd name="T42" fmla="*/ 19 w 20"/>
                <a:gd name="T43" fmla="*/ 24 h 25"/>
                <a:gd name="T44" fmla="*/ 20 w 20"/>
                <a:gd name="T45" fmla="*/ 24 h 25"/>
                <a:gd name="T46" fmla="*/ 20 w 20"/>
                <a:gd name="T47" fmla="*/ 25 h 25"/>
                <a:gd name="T48" fmla="*/ 11 w 20"/>
                <a:gd name="T49" fmla="*/ 25 h 25"/>
                <a:gd name="T50" fmla="*/ 11 w 20"/>
                <a:gd name="T51" fmla="*/ 24 h 25"/>
                <a:gd name="T52" fmla="*/ 12 w 20"/>
                <a:gd name="T53" fmla="*/ 24 h 25"/>
                <a:gd name="T54" fmla="*/ 13 w 20"/>
                <a:gd name="T55" fmla="*/ 24 h 25"/>
                <a:gd name="T56" fmla="*/ 14 w 20"/>
                <a:gd name="T57" fmla="*/ 24 h 25"/>
                <a:gd name="T58" fmla="*/ 14 w 20"/>
                <a:gd name="T59" fmla="*/ 22 h 25"/>
                <a:gd name="T60" fmla="*/ 14 w 20"/>
                <a:gd name="T61" fmla="*/ 21 h 25"/>
                <a:gd name="T62" fmla="*/ 14 w 20"/>
                <a:gd name="T63" fmla="*/ 16 h 25"/>
                <a:gd name="T64" fmla="*/ 14 w 20"/>
                <a:gd name="T65" fmla="*/ 16 h 25"/>
                <a:gd name="T66" fmla="*/ 14 w 20"/>
                <a:gd name="T67" fmla="*/ 8 h 25"/>
                <a:gd name="T68" fmla="*/ 7 w 20"/>
                <a:gd name="T69" fmla="*/ 16 h 25"/>
                <a:gd name="T70" fmla="*/ 14 w 20"/>
                <a:gd name="T71" fmla="*/ 16 h 25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0"/>
                <a:gd name="T109" fmla="*/ 0 h 25"/>
                <a:gd name="T110" fmla="*/ 20 w 20"/>
                <a:gd name="T111" fmla="*/ 25 h 25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0" h="25">
                  <a:moveTo>
                    <a:pt x="14" y="16"/>
                  </a:moveTo>
                  <a:lnTo>
                    <a:pt x="7" y="16"/>
                  </a:lnTo>
                  <a:lnTo>
                    <a:pt x="6" y="19"/>
                  </a:lnTo>
                  <a:lnTo>
                    <a:pt x="4" y="21"/>
                  </a:lnTo>
                  <a:lnTo>
                    <a:pt x="3" y="22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5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2"/>
                  </a:lnTo>
                  <a:lnTo>
                    <a:pt x="3" y="21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8" y="19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0" y="25"/>
                  </a:lnTo>
                  <a:lnTo>
                    <a:pt x="11" y="25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4" y="22"/>
                  </a:lnTo>
                  <a:lnTo>
                    <a:pt x="14" y="21"/>
                  </a:lnTo>
                  <a:lnTo>
                    <a:pt x="14" y="16"/>
                  </a:lnTo>
                  <a:close/>
                  <a:moveTo>
                    <a:pt x="14" y="16"/>
                  </a:moveTo>
                  <a:lnTo>
                    <a:pt x="14" y="8"/>
                  </a:lnTo>
                  <a:lnTo>
                    <a:pt x="7" y="16"/>
                  </a:lnTo>
                  <a:lnTo>
                    <a:pt x="14" y="16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1" name="Freeform 10"/>
            <xdr:cNvSpPr>
              <a:spLocks/>
            </xdr:cNvSpPr>
          </xdr:nvSpPr>
          <xdr:spPr bwMode="auto">
            <a:xfrm>
              <a:off x="154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2" name="Freeform 11"/>
            <xdr:cNvSpPr>
              <a:spLocks noEditPoints="1"/>
            </xdr:cNvSpPr>
          </xdr:nvSpPr>
          <xdr:spPr bwMode="auto">
            <a:xfrm>
              <a:off x="174" y="156"/>
              <a:ext cx="20" cy="32"/>
            </a:xfrm>
            <a:custGeom>
              <a:avLst/>
              <a:gdLst>
                <a:gd name="T0" fmla="*/ 5 w 20"/>
                <a:gd name="T1" fmla="*/ 27 h 32"/>
                <a:gd name="T2" fmla="*/ 8 w 20"/>
                <a:gd name="T3" fmla="*/ 27 h 32"/>
                <a:gd name="T4" fmla="*/ 10 w 20"/>
                <a:gd name="T5" fmla="*/ 27 h 32"/>
                <a:gd name="T6" fmla="*/ 12 w 20"/>
                <a:gd name="T7" fmla="*/ 29 h 32"/>
                <a:gd name="T8" fmla="*/ 15 w 20"/>
                <a:gd name="T9" fmla="*/ 29 h 32"/>
                <a:gd name="T10" fmla="*/ 17 w 20"/>
                <a:gd name="T11" fmla="*/ 28 h 32"/>
                <a:gd name="T12" fmla="*/ 19 w 20"/>
                <a:gd name="T13" fmla="*/ 27 h 32"/>
                <a:gd name="T14" fmla="*/ 18 w 20"/>
                <a:gd name="T15" fmla="*/ 29 h 32"/>
                <a:gd name="T16" fmla="*/ 16 w 20"/>
                <a:gd name="T17" fmla="*/ 31 h 32"/>
                <a:gd name="T18" fmla="*/ 14 w 20"/>
                <a:gd name="T19" fmla="*/ 32 h 32"/>
                <a:gd name="T20" fmla="*/ 11 w 20"/>
                <a:gd name="T21" fmla="*/ 32 h 32"/>
                <a:gd name="T22" fmla="*/ 8 w 20"/>
                <a:gd name="T23" fmla="*/ 32 h 32"/>
                <a:gd name="T24" fmla="*/ 7 w 20"/>
                <a:gd name="T25" fmla="*/ 31 h 32"/>
                <a:gd name="T26" fmla="*/ 5 w 20"/>
                <a:gd name="T27" fmla="*/ 29 h 32"/>
                <a:gd name="T28" fmla="*/ 2 w 20"/>
                <a:gd name="T29" fmla="*/ 29 h 32"/>
                <a:gd name="T30" fmla="*/ 0 w 20"/>
                <a:gd name="T31" fmla="*/ 29 h 32"/>
                <a:gd name="T32" fmla="*/ 4 w 20"/>
                <a:gd name="T33" fmla="*/ 24 h 32"/>
                <a:gd name="T34" fmla="*/ 1 w 20"/>
                <a:gd name="T35" fmla="*/ 24 h 32"/>
                <a:gd name="T36" fmla="*/ 1 w 20"/>
                <a:gd name="T37" fmla="*/ 21 h 32"/>
                <a:gd name="T38" fmla="*/ 0 w 20"/>
                <a:gd name="T39" fmla="*/ 16 h 32"/>
                <a:gd name="T40" fmla="*/ 1 w 20"/>
                <a:gd name="T41" fmla="*/ 12 h 32"/>
                <a:gd name="T42" fmla="*/ 2 w 20"/>
                <a:gd name="T43" fmla="*/ 8 h 32"/>
                <a:gd name="T44" fmla="*/ 4 w 20"/>
                <a:gd name="T45" fmla="*/ 5 h 32"/>
                <a:gd name="T46" fmla="*/ 7 w 20"/>
                <a:gd name="T47" fmla="*/ 2 h 32"/>
                <a:gd name="T48" fmla="*/ 9 w 20"/>
                <a:gd name="T49" fmla="*/ 0 h 32"/>
                <a:gd name="T50" fmla="*/ 12 w 20"/>
                <a:gd name="T51" fmla="*/ 0 h 32"/>
                <a:gd name="T52" fmla="*/ 15 w 20"/>
                <a:gd name="T53" fmla="*/ 0 h 32"/>
                <a:gd name="T54" fmla="*/ 17 w 20"/>
                <a:gd name="T55" fmla="*/ 2 h 32"/>
                <a:gd name="T56" fmla="*/ 19 w 20"/>
                <a:gd name="T57" fmla="*/ 5 h 32"/>
                <a:gd name="T58" fmla="*/ 20 w 20"/>
                <a:gd name="T59" fmla="*/ 8 h 32"/>
                <a:gd name="T60" fmla="*/ 19 w 20"/>
                <a:gd name="T61" fmla="*/ 11 h 32"/>
                <a:gd name="T62" fmla="*/ 18 w 20"/>
                <a:gd name="T63" fmla="*/ 13 h 32"/>
                <a:gd name="T64" fmla="*/ 16 w 20"/>
                <a:gd name="T65" fmla="*/ 18 h 32"/>
                <a:gd name="T66" fmla="*/ 15 w 20"/>
                <a:gd name="T67" fmla="*/ 21 h 32"/>
                <a:gd name="T68" fmla="*/ 14 w 20"/>
                <a:gd name="T69" fmla="*/ 22 h 32"/>
                <a:gd name="T70" fmla="*/ 11 w 20"/>
                <a:gd name="T71" fmla="*/ 24 h 32"/>
                <a:gd name="T72" fmla="*/ 9 w 20"/>
                <a:gd name="T73" fmla="*/ 25 h 32"/>
                <a:gd name="T74" fmla="*/ 7 w 20"/>
                <a:gd name="T75" fmla="*/ 25 h 32"/>
                <a:gd name="T76" fmla="*/ 12 w 20"/>
                <a:gd name="T77" fmla="*/ 0 h 32"/>
                <a:gd name="T78" fmla="*/ 9 w 20"/>
                <a:gd name="T79" fmla="*/ 2 h 32"/>
                <a:gd name="T80" fmla="*/ 8 w 20"/>
                <a:gd name="T81" fmla="*/ 6 h 32"/>
                <a:gd name="T82" fmla="*/ 6 w 20"/>
                <a:gd name="T83" fmla="*/ 8 h 32"/>
                <a:gd name="T84" fmla="*/ 5 w 20"/>
                <a:gd name="T85" fmla="*/ 12 h 32"/>
                <a:gd name="T86" fmla="*/ 4 w 20"/>
                <a:gd name="T87" fmla="*/ 15 h 32"/>
                <a:gd name="T88" fmla="*/ 4 w 20"/>
                <a:gd name="T89" fmla="*/ 19 h 32"/>
                <a:gd name="T90" fmla="*/ 5 w 20"/>
                <a:gd name="T91" fmla="*/ 24 h 32"/>
                <a:gd name="T92" fmla="*/ 8 w 20"/>
                <a:gd name="T93" fmla="*/ 24 h 32"/>
                <a:gd name="T94" fmla="*/ 10 w 20"/>
                <a:gd name="T95" fmla="*/ 24 h 32"/>
                <a:gd name="T96" fmla="*/ 12 w 20"/>
                <a:gd name="T97" fmla="*/ 21 h 32"/>
                <a:gd name="T98" fmla="*/ 13 w 20"/>
                <a:gd name="T99" fmla="*/ 16 h 32"/>
                <a:gd name="T100" fmla="*/ 15 w 20"/>
                <a:gd name="T101" fmla="*/ 13 h 32"/>
                <a:gd name="T102" fmla="*/ 15 w 20"/>
                <a:gd name="T103" fmla="*/ 9 h 32"/>
                <a:gd name="T104" fmla="*/ 15 w 20"/>
                <a:gd name="T105" fmla="*/ 5 h 32"/>
                <a:gd name="T106" fmla="*/ 15 w 20"/>
                <a:gd name="T107" fmla="*/ 0 h 32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20"/>
                <a:gd name="T163" fmla="*/ 0 h 32"/>
                <a:gd name="T164" fmla="*/ 20 w 20"/>
                <a:gd name="T165" fmla="*/ 32 h 32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20" h="32">
                  <a:moveTo>
                    <a:pt x="6" y="25"/>
                  </a:moveTo>
                  <a:lnTo>
                    <a:pt x="4" y="27"/>
                  </a:lnTo>
                  <a:lnTo>
                    <a:pt x="5" y="27"/>
                  </a:lnTo>
                  <a:lnTo>
                    <a:pt x="6" y="27"/>
                  </a:lnTo>
                  <a:lnTo>
                    <a:pt x="7" y="27"/>
                  </a:lnTo>
                  <a:lnTo>
                    <a:pt x="8" y="27"/>
                  </a:lnTo>
                  <a:lnTo>
                    <a:pt x="9" y="27"/>
                  </a:lnTo>
                  <a:lnTo>
                    <a:pt x="10" y="27"/>
                  </a:lnTo>
                  <a:lnTo>
                    <a:pt x="10" y="28"/>
                  </a:lnTo>
                  <a:lnTo>
                    <a:pt x="11" y="28"/>
                  </a:lnTo>
                  <a:lnTo>
                    <a:pt x="12" y="29"/>
                  </a:lnTo>
                  <a:lnTo>
                    <a:pt x="13" y="29"/>
                  </a:lnTo>
                  <a:lnTo>
                    <a:pt x="14" y="29"/>
                  </a:lnTo>
                  <a:lnTo>
                    <a:pt x="15" y="29"/>
                  </a:lnTo>
                  <a:lnTo>
                    <a:pt x="16" y="29"/>
                  </a:lnTo>
                  <a:lnTo>
                    <a:pt x="17" y="28"/>
                  </a:lnTo>
                  <a:lnTo>
                    <a:pt x="18" y="28"/>
                  </a:lnTo>
                  <a:lnTo>
                    <a:pt x="18" y="27"/>
                  </a:lnTo>
                  <a:lnTo>
                    <a:pt x="19" y="27"/>
                  </a:lnTo>
                  <a:lnTo>
                    <a:pt x="19" y="28"/>
                  </a:lnTo>
                  <a:lnTo>
                    <a:pt x="18" y="28"/>
                  </a:lnTo>
                  <a:lnTo>
                    <a:pt x="18" y="29"/>
                  </a:lnTo>
                  <a:lnTo>
                    <a:pt x="17" y="29"/>
                  </a:lnTo>
                  <a:lnTo>
                    <a:pt x="16" y="29"/>
                  </a:lnTo>
                  <a:lnTo>
                    <a:pt x="16" y="31"/>
                  </a:lnTo>
                  <a:lnTo>
                    <a:pt x="15" y="31"/>
                  </a:lnTo>
                  <a:lnTo>
                    <a:pt x="15" y="32"/>
                  </a:lnTo>
                  <a:lnTo>
                    <a:pt x="14" y="32"/>
                  </a:lnTo>
                  <a:lnTo>
                    <a:pt x="13" y="32"/>
                  </a:lnTo>
                  <a:lnTo>
                    <a:pt x="12" y="32"/>
                  </a:lnTo>
                  <a:lnTo>
                    <a:pt x="11" y="32"/>
                  </a:lnTo>
                  <a:lnTo>
                    <a:pt x="10" y="32"/>
                  </a:lnTo>
                  <a:lnTo>
                    <a:pt x="9" y="32"/>
                  </a:lnTo>
                  <a:lnTo>
                    <a:pt x="8" y="32"/>
                  </a:lnTo>
                  <a:lnTo>
                    <a:pt x="7" y="32"/>
                  </a:lnTo>
                  <a:lnTo>
                    <a:pt x="7" y="31"/>
                  </a:lnTo>
                  <a:lnTo>
                    <a:pt x="6" y="31"/>
                  </a:lnTo>
                  <a:lnTo>
                    <a:pt x="5" y="31"/>
                  </a:lnTo>
                  <a:lnTo>
                    <a:pt x="5" y="29"/>
                  </a:lnTo>
                  <a:lnTo>
                    <a:pt x="4" y="29"/>
                  </a:lnTo>
                  <a:lnTo>
                    <a:pt x="3" y="29"/>
                  </a:lnTo>
                  <a:lnTo>
                    <a:pt x="2" y="29"/>
                  </a:lnTo>
                  <a:lnTo>
                    <a:pt x="1" y="29"/>
                  </a:lnTo>
                  <a:lnTo>
                    <a:pt x="1" y="31"/>
                  </a:lnTo>
                  <a:lnTo>
                    <a:pt x="0" y="29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7" y="16"/>
                  </a:lnTo>
                  <a:lnTo>
                    <a:pt x="16" y="18"/>
                  </a:lnTo>
                  <a:lnTo>
                    <a:pt x="16" y="19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2"/>
                  </a:lnTo>
                  <a:lnTo>
                    <a:pt x="12" y="22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9"/>
                  </a:lnTo>
                  <a:lnTo>
                    <a:pt x="15" y="8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3" name="Freeform 12"/>
            <xdr:cNvSpPr>
              <a:spLocks/>
            </xdr:cNvSpPr>
          </xdr:nvSpPr>
          <xdr:spPr bwMode="auto">
            <a:xfrm>
              <a:off x="196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1 w 22"/>
                <a:gd name="T3" fmla="*/ 2 h 25"/>
                <a:gd name="T4" fmla="*/ 20 w 22"/>
                <a:gd name="T5" fmla="*/ 5 h 25"/>
                <a:gd name="T6" fmla="*/ 19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3 w 22"/>
                <a:gd name="T13" fmla="*/ 24 h 25"/>
                <a:gd name="T14" fmla="*/ 11 w 22"/>
                <a:gd name="T15" fmla="*/ 24 h 25"/>
                <a:gd name="T16" fmla="*/ 9 w 22"/>
                <a:gd name="T17" fmla="*/ 25 h 25"/>
                <a:gd name="T18" fmla="*/ 7 w 22"/>
                <a:gd name="T19" fmla="*/ 25 h 25"/>
                <a:gd name="T20" fmla="*/ 6 w 22"/>
                <a:gd name="T21" fmla="*/ 25 h 25"/>
                <a:gd name="T22" fmla="*/ 4 w 22"/>
                <a:gd name="T23" fmla="*/ 24 h 25"/>
                <a:gd name="T24" fmla="*/ 2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4 w 22"/>
                <a:gd name="T33" fmla="*/ 5 h 25"/>
                <a:gd name="T34" fmla="*/ 3 w 22"/>
                <a:gd name="T35" fmla="*/ 2 h 25"/>
                <a:gd name="T36" fmla="*/ 1 w 22"/>
                <a:gd name="T37" fmla="*/ 2 h 25"/>
                <a:gd name="T38" fmla="*/ 12 w 22"/>
                <a:gd name="T39" fmla="*/ 0 h 25"/>
                <a:gd name="T40" fmla="*/ 11 w 22"/>
                <a:gd name="T41" fmla="*/ 2 h 25"/>
                <a:gd name="T42" fmla="*/ 9 w 22"/>
                <a:gd name="T43" fmla="*/ 3 h 25"/>
                <a:gd name="T44" fmla="*/ 8 w 22"/>
                <a:gd name="T45" fmla="*/ 5 h 25"/>
                <a:gd name="T46" fmla="*/ 6 w 22"/>
                <a:gd name="T47" fmla="*/ 16 h 25"/>
                <a:gd name="T48" fmla="*/ 5 w 22"/>
                <a:gd name="T49" fmla="*/ 18 h 25"/>
                <a:gd name="T50" fmla="*/ 5 w 22"/>
                <a:gd name="T51" fmla="*/ 21 h 25"/>
                <a:gd name="T52" fmla="*/ 7 w 22"/>
                <a:gd name="T53" fmla="*/ 24 h 25"/>
                <a:gd name="T54" fmla="*/ 8 w 22"/>
                <a:gd name="T55" fmla="*/ 24 h 25"/>
                <a:gd name="T56" fmla="*/ 10 w 22"/>
                <a:gd name="T57" fmla="*/ 24 h 25"/>
                <a:gd name="T58" fmla="*/ 11 w 22"/>
                <a:gd name="T59" fmla="*/ 22 h 25"/>
                <a:gd name="T60" fmla="*/ 13 w 22"/>
                <a:gd name="T61" fmla="*/ 21 h 25"/>
                <a:gd name="T62" fmla="*/ 14 w 22"/>
                <a:gd name="T63" fmla="*/ 19 h 25"/>
                <a:gd name="T64" fmla="*/ 14 w 22"/>
                <a:gd name="T65" fmla="*/ 18 h 25"/>
                <a:gd name="T66" fmla="*/ 18 w 22"/>
                <a:gd name="T67" fmla="*/ 6 h 25"/>
                <a:gd name="T68" fmla="*/ 18 w 22"/>
                <a:gd name="T69" fmla="*/ 3 h 25"/>
                <a:gd name="T70" fmla="*/ 16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19" y="5"/>
                  </a:lnTo>
                  <a:lnTo>
                    <a:pt x="19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2" y="0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6" y="16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2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8" y="6"/>
                  </a:lnTo>
                  <a:lnTo>
                    <a:pt x="18" y="5"/>
                  </a:lnTo>
                  <a:lnTo>
                    <a:pt x="18" y="3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4" name="Freeform 13"/>
            <xdr:cNvSpPr>
              <a:spLocks/>
            </xdr:cNvSpPr>
          </xdr:nvSpPr>
          <xdr:spPr bwMode="auto">
            <a:xfrm>
              <a:off x="215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9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2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5" name="Freeform 14"/>
            <xdr:cNvSpPr>
              <a:spLocks/>
            </xdr:cNvSpPr>
          </xdr:nvSpPr>
          <xdr:spPr bwMode="auto">
            <a:xfrm>
              <a:off x="227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2 w 26"/>
                <a:gd name="T7" fmla="*/ 5 h 25"/>
                <a:gd name="T8" fmla="*/ 22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5 w 26"/>
                <a:gd name="T25" fmla="*/ 2 h 25"/>
                <a:gd name="T26" fmla="*/ 24 w 26"/>
                <a:gd name="T27" fmla="*/ 3 h 25"/>
                <a:gd name="T28" fmla="*/ 23 w 26"/>
                <a:gd name="T29" fmla="*/ 3 h 25"/>
                <a:gd name="T30" fmla="*/ 23 w 26"/>
                <a:gd name="T31" fmla="*/ 5 h 25"/>
                <a:gd name="T32" fmla="*/ 23 w 26"/>
                <a:gd name="T33" fmla="*/ 6 h 25"/>
                <a:gd name="T34" fmla="*/ 18 w 26"/>
                <a:gd name="T35" fmla="*/ 25 h 25"/>
                <a:gd name="T36" fmla="*/ 17 w 26"/>
                <a:gd name="T37" fmla="*/ 25 h 25"/>
                <a:gd name="T38" fmla="*/ 9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1 w 26"/>
                <a:gd name="T59" fmla="*/ 24 h 25"/>
                <a:gd name="T60" fmla="*/ 2 w 26"/>
                <a:gd name="T61" fmla="*/ 24 h 25"/>
                <a:gd name="T62" fmla="*/ 3 w 26"/>
                <a:gd name="T63" fmla="*/ 24 h 25"/>
                <a:gd name="T64" fmla="*/ 4 w 26"/>
                <a:gd name="T65" fmla="*/ 22 h 25"/>
                <a:gd name="T66" fmla="*/ 4 w 26"/>
                <a:gd name="T67" fmla="*/ 21 h 25"/>
                <a:gd name="T68" fmla="*/ 8 w 26"/>
                <a:gd name="T69" fmla="*/ 3 h 25"/>
                <a:gd name="T70" fmla="*/ 8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6" name="Freeform 15"/>
            <xdr:cNvSpPr>
              <a:spLocks/>
            </xdr:cNvSpPr>
          </xdr:nvSpPr>
          <xdr:spPr bwMode="auto">
            <a:xfrm>
              <a:off x="249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7" name="Freeform 16"/>
            <xdr:cNvSpPr>
              <a:spLocks/>
            </xdr:cNvSpPr>
          </xdr:nvSpPr>
          <xdr:spPr bwMode="auto">
            <a:xfrm>
              <a:off x="271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6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9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6 w 20"/>
                <a:gd name="T45" fmla="*/ 19 h 25"/>
                <a:gd name="T46" fmla="*/ 16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9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2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2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6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6" y="19"/>
                  </a:lnTo>
                  <a:lnTo>
                    <a:pt x="16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2" y="21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8" name="Freeform 17"/>
            <xdr:cNvSpPr>
              <a:spLocks noEditPoints="1"/>
            </xdr:cNvSpPr>
          </xdr:nvSpPr>
          <xdr:spPr bwMode="auto">
            <a:xfrm>
              <a:off x="291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4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2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8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19 w 20"/>
                <a:gd name="T47" fmla="*/ 13 h 25"/>
                <a:gd name="T48" fmla="*/ 18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2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2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4 w 20"/>
                <a:gd name="T81" fmla="*/ 16 h 25"/>
                <a:gd name="T82" fmla="*/ 4 w 20"/>
                <a:gd name="T83" fmla="*/ 19 h 25"/>
                <a:gd name="T84" fmla="*/ 4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1 w 20"/>
                <a:gd name="T93" fmla="*/ 22 h 25"/>
                <a:gd name="T94" fmla="*/ 12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9" name="Freeform 18"/>
            <xdr:cNvSpPr>
              <a:spLocks/>
            </xdr:cNvSpPr>
          </xdr:nvSpPr>
          <xdr:spPr bwMode="auto">
            <a:xfrm>
              <a:off x="310" y="156"/>
              <a:ext cx="27" cy="25"/>
            </a:xfrm>
            <a:custGeom>
              <a:avLst/>
              <a:gdLst>
                <a:gd name="T0" fmla="*/ 12 w 27"/>
                <a:gd name="T1" fmla="*/ 0 h 25"/>
                <a:gd name="T2" fmla="*/ 19 w 27"/>
                <a:gd name="T3" fmla="*/ 16 h 25"/>
                <a:gd name="T4" fmla="*/ 21 w 27"/>
                <a:gd name="T5" fmla="*/ 6 h 25"/>
                <a:gd name="T6" fmla="*/ 22 w 27"/>
                <a:gd name="T7" fmla="*/ 5 h 25"/>
                <a:gd name="T8" fmla="*/ 22 w 27"/>
                <a:gd name="T9" fmla="*/ 3 h 25"/>
                <a:gd name="T10" fmla="*/ 21 w 27"/>
                <a:gd name="T11" fmla="*/ 3 h 25"/>
                <a:gd name="T12" fmla="*/ 21 w 27"/>
                <a:gd name="T13" fmla="*/ 2 h 25"/>
                <a:gd name="T14" fmla="*/ 20 w 27"/>
                <a:gd name="T15" fmla="*/ 2 h 25"/>
                <a:gd name="T16" fmla="*/ 20 w 27"/>
                <a:gd name="T17" fmla="*/ 2 h 25"/>
                <a:gd name="T18" fmla="*/ 20 w 27"/>
                <a:gd name="T19" fmla="*/ 0 h 25"/>
                <a:gd name="T20" fmla="*/ 27 w 27"/>
                <a:gd name="T21" fmla="*/ 0 h 25"/>
                <a:gd name="T22" fmla="*/ 26 w 27"/>
                <a:gd name="T23" fmla="*/ 2 h 25"/>
                <a:gd name="T24" fmla="*/ 25 w 27"/>
                <a:gd name="T25" fmla="*/ 2 h 25"/>
                <a:gd name="T26" fmla="*/ 24 w 27"/>
                <a:gd name="T27" fmla="*/ 3 h 25"/>
                <a:gd name="T28" fmla="*/ 23 w 27"/>
                <a:gd name="T29" fmla="*/ 3 h 25"/>
                <a:gd name="T30" fmla="*/ 23 w 27"/>
                <a:gd name="T31" fmla="*/ 5 h 25"/>
                <a:gd name="T32" fmla="*/ 23 w 27"/>
                <a:gd name="T33" fmla="*/ 6 h 25"/>
                <a:gd name="T34" fmla="*/ 18 w 27"/>
                <a:gd name="T35" fmla="*/ 25 h 25"/>
                <a:gd name="T36" fmla="*/ 17 w 27"/>
                <a:gd name="T37" fmla="*/ 25 h 25"/>
                <a:gd name="T38" fmla="*/ 9 w 27"/>
                <a:gd name="T39" fmla="*/ 5 h 25"/>
                <a:gd name="T40" fmla="*/ 5 w 27"/>
                <a:gd name="T41" fmla="*/ 21 h 25"/>
                <a:gd name="T42" fmla="*/ 5 w 27"/>
                <a:gd name="T43" fmla="*/ 22 h 25"/>
                <a:gd name="T44" fmla="*/ 5 w 27"/>
                <a:gd name="T45" fmla="*/ 24 h 25"/>
                <a:gd name="T46" fmla="*/ 6 w 27"/>
                <a:gd name="T47" fmla="*/ 24 h 25"/>
                <a:gd name="T48" fmla="*/ 6 w 27"/>
                <a:gd name="T49" fmla="*/ 24 h 25"/>
                <a:gd name="T50" fmla="*/ 7 w 27"/>
                <a:gd name="T51" fmla="*/ 24 h 25"/>
                <a:gd name="T52" fmla="*/ 6 w 27"/>
                <a:gd name="T53" fmla="*/ 25 h 25"/>
                <a:gd name="T54" fmla="*/ 0 w 27"/>
                <a:gd name="T55" fmla="*/ 25 h 25"/>
                <a:gd name="T56" fmla="*/ 0 w 27"/>
                <a:gd name="T57" fmla="*/ 24 h 25"/>
                <a:gd name="T58" fmla="*/ 1 w 27"/>
                <a:gd name="T59" fmla="*/ 24 h 25"/>
                <a:gd name="T60" fmla="*/ 2 w 27"/>
                <a:gd name="T61" fmla="*/ 24 h 25"/>
                <a:gd name="T62" fmla="*/ 3 w 27"/>
                <a:gd name="T63" fmla="*/ 24 h 25"/>
                <a:gd name="T64" fmla="*/ 4 w 27"/>
                <a:gd name="T65" fmla="*/ 22 h 25"/>
                <a:gd name="T66" fmla="*/ 4 w 27"/>
                <a:gd name="T67" fmla="*/ 21 h 25"/>
                <a:gd name="T68" fmla="*/ 8 w 27"/>
                <a:gd name="T69" fmla="*/ 3 h 25"/>
                <a:gd name="T70" fmla="*/ 8 w 27"/>
                <a:gd name="T71" fmla="*/ 2 h 25"/>
                <a:gd name="T72" fmla="*/ 7 w 27"/>
                <a:gd name="T73" fmla="*/ 2 h 25"/>
                <a:gd name="T74" fmla="*/ 6 w 27"/>
                <a:gd name="T75" fmla="*/ 2 h 25"/>
                <a:gd name="T76" fmla="*/ 6 w 27"/>
                <a:gd name="T77" fmla="*/ 2 h 25"/>
                <a:gd name="T78" fmla="*/ 6 w 27"/>
                <a:gd name="T79" fmla="*/ 0 h 25"/>
                <a:gd name="T80" fmla="*/ 12 w 27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7"/>
                <a:gd name="T124" fmla="*/ 0 h 25"/>
                <a:gd name="T125" fmla="*/ 27 w 27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7" h="25">
                  <a:moveTo>
                    <a:pt x="12" y="0"/>
                  </a:moveTo>
                  <a:lnTo>
                    <a:pt x="19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20" y="0"/>
                  </a:lnTo>
                  <a:lnTo>
                    <a:pt x="27" y="0"/>
                  </a:lnTo>
                  <a:lnTo>
                    <a:pt x="26" y="2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0" name="Freeform 19"/>
            <xdr:cNvSpPr>
              <a:spLocks/>
            </xdr:cNvSpPr>
          </xdr:nvSpPr>
          <xdr:spPr bwMode="auto">
            <a:xfrm>
              <a:off x="332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3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3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3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6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5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5 w 19"/>
                <a:gd name="T77" fmla="*/ 9 h 25"/>
                <a:gd name="T78" fmla="*/ 5 w 19"/>
                <a:gd name="T79" fmla="*/ 6 h 25"/>
                <a:gd name="T80" fmla="*/ 6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2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1" name="Freeform 20"/>
            <xdr:cNvSpPr>
              <a:spLocks/>
            </xdr:cNvSpPr>
          </xdr:nvSpPr>
          <xdr:spPr bwMode="auto">
            <a:xfrm>
              <a:off x="352" y="156"/>
              <a:ext cx="20" cy="25"/>
            </a:xfrm>
            <a:custGeom>
              <a:avLst/>
              <a:gdLst>
                <a:gd name="T0" fmla="*/ 4 w 20"/>
                <a:gd name="T1" fmla="*/ 0 h 25"/>
                <a:gd name="T2" fmla="*/ 20 w 20"/>
                <a:gd name="T3" fmla="*/ 0 h 25"/>
                <a:gd name="T4" fmla="*/ 18 w 20"/>
                <a:gd name="T5" fmla="*/ 8 h 25"/>
                <a:gd name="T6" fmla="*/ 17 w 20"/>
                <a:gd name="T7" fmla="*/ 8 h 25"/>
                <a:gd name="T8" fmla="*/ 17 w 20"/>
                <a:gd name="T9" fmla="*/ 6 h 25"/>
                <a:gd name="T10" fmla="*/ 17 w 20"/>
                <a:gd name="T11" fmla="*/ 5 h 25"/>
                <a:gd name="T12" fmla="*/ 16 w 20"/>
                <a:gd name="T13" fmla="*/ 3 h 25"/>
                <a:gd name="T14" fmla="*/ 15 w 20"/>
                <a:gd name="T15" fmla="*/ 2 h 25"/>
                <a:gd name="T16" fmla="*/ 14 w 20"/>
                <a:gd name="T17" fmla="*/ 2 h 25"/>
                <a:gd name="T18" fmla="*/ 13 w 20"/>
                <a:gd name="T19" fmla="*/ 2 h 25"/>
                <a:gd name="T20" fmla="*/ 9 w 20"/>
                <a:gd name="T21" fmla="*/ 21 h 25"/>
                <a:gd name="T22" fmla="*/ 8 w 20"/>
                <a:gd name="T23" fmla="*/ 21 h 25"/>
                <a:gd name="T24" fmla="*/ 8 w 20"/>
                <a:gd name="T25" fmla="*/ 22 h 25"/>
                <a:gd name="T26" fmla="*/ 8 w 20"/>
                <a:gd name="T27" fmla="*/ 24 h 25"/>
                <a:gd name="T28" fmla="*/ 9 w 20"/>
                <a:gd name="T29" fmla="*/ 24 h 25"/>
                <a:gd name="T30" fmla="*/ 10 w 20"/>
                <a:gd name="T31" fmla="*/ 24 h 25"/>
                <a:gd name="T32" fmla="*/ 11 w 20"/>
                <a:gd name="T33" fmla="*/ 24 h 25"/>
                <a:gd name="T34" fmla="*/ 11 w 20"/>
                <a:gd name="T35" fmla="*/ 25 h 25"/>
                <a:gd name="T36" fmla="*/ 0 w 20"/>
                <a:gd name="T37" fmla="*/ 25 h 25"/>
                <a:gd name="T38" fmla="*/ 0 w 20"/>
                <a:gd name="T39" fmla="*/ 24 h 25"/>
                <a:gd name="T40" fmla="*/ 1 w 20"/>
                <a:gd name="T41" fmla="*/ 24 h 25"/>
                <a:gd name="T42" fmla="*/ 2 w 20"/>
                <a:gd name="T43" fmla="*/ 24 h 25"/>
                <a:gd name="T44" fmla="*/ 3 w 20"/>
                <a:gd name="T45" fmla="*/ 24 h 25"/>
                <a:gd name="T46" fmla="*/ 4 w 20"/>
                <a:gd name="T47" fmla="*/ 24 h 25"/>
                <a:gd name="T48" fmla="*/ 4 w 20"/>
                <a:gd name="T49" fmla="*/ 22 h 25"/>
                <a:gd name="T50" fmla="*/ 4 w 20"/>
                <a:gd name="T51" fmla="*/ 21 h 25"/>
                <a:gd name="T52" fmla="*/ 9 w 20"/>
                <a:gd name="T53" fmla="*/ 2 h 25"/>
                <a:gd name="T54" fmla="*/ 8 w 20"/>
                <a:gd name="T55" fmla="*/ 2 h 25"/>
                <a:gd name="T56" fmla="*/ 7 w 20"/>
                <a:gd name="T57" fmla="*/ 2 h 25"/>
                <a:gd name="T58" fmla="*/ 6 w 20"/>
                <a:gd name="T59" fmla="*/ 2 h 25"/>
                <a:gd name="T60" fmla="*/ 6 w 20"/>
                <a:gd name="T61" fmla="*/ 3 h 25"/>
                <a:gd name="T62" fmla="*/ 5 w 20"/>
                <a:gd name="T63" fmla="*/ 5 h 25"/>
                <a:gd name="T64" fmla="*/ 4 w 20"/>
                <a:gd name="T65" fmla="*/ 5 h 25"/>
                <a:gd name="T66" fmla="*/ 4 w 20"/>
                <a:gd name="T67" fmla="*/ 6 h 25"/>
                <a:gd name="T68" fmla="*/ 3 w 20"/>
                <a:gd name="T69" fmla="*/ 6 h 25"/>
                <a:gd name="T70" fmla="*/ 3 w 20"/>
                <a:gd name="T71" fmla="*/ 8 h 25"/>
                <a:gd name="T72" fmla="*/ 2 w 20"/>
                <a:gd name="T73" fmla="*/ 8 h 25"/>
                <a:gd name="T74" fmla="*/ 4 w 20"/>
                <a:gd name="T75" fmla="*/ 0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"/>
                <a:gd name="T115" fmla="*/ 0 h 25"/>
                <a:gd name="T116" fmla="*/ 20 w 20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" h="25">
                  <a:moveTo>
                    <a:pt x="4" y="0"/>
                  </a:moveTo>
                  <a:lnTo>
                    <a:pt x="20" y="0"/>
                  </a:lnTo>
                  <a:lnTo>
                    <a:pt x="18" y="8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9" y="21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9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3"/>
                  </a:lnTo>
                  <a:lnTo>
                    <a:pt x="5" y="5"/>
                  </a:lnTo>
                  <a:lnTo>
                    <a:pt x="4" y="5"/>
                  </a:lnTo>
                  <a:lnTo>
                    <a:pt x="4" y="6"/>
                  </a:lnTo>
                  <a:lnTo>
                    <a:pt x="3" y="6"/>
                  </a:lnTo>
                  <a:lnTo>
                    <a:pt x="3" y="8"/>
                  </a:lnTo>
                  <a:lnTo>
                    <a:pt x="2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2" name="Freeform 21"/>
            <xdr:cNvSpPr>
              <a:spLocks noEditPoints="1"/>
            </xdr:cNvSpPr>
          </xdr:nvSpPr>
          <xdr:spPr bwMode="auto">
            <a:xfrm>
              <a:off x="36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6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19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0 w 21"/>
                <a:gd name="T31" fmla="*/ 9 h 25"/>
                <a:gd name="T32" fmla="*/ 18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8 w 21"/>
                <a:gd name="T39" fmla="*/ 22 h 25"/>
                <a:gd name="T40" fmla="*/ 19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1 w 21"/>
                <a:gd name="T51" fmla="*/ 12 h 25"/>
                <a:gd name="T52" fmla="*/ 13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3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2"/>
                  </a:lnTo>
                  <a:lnTo>
                    <a:pt x="20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19" y="11"/>
                  </a:lnTo>
                  <a:lnTo>
                    <a:pt x="18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3" y="11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3" name="Freeform 22"/>
            <xdr:cNvSpPr>
              <a:spLocks/>
            </xdr:cNvSpPr>
          </xdr:nvSpPr>
          <xdr:spPr bwMode="auto">
            <a:xfrm>
              <a:off x="392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0 w 22"/>
                <a:gd name="T3" fmla="*/ 2 h 25"/>
                <a:gd name="T4" fmla="*/ 19 w 22"/>
                <a:gd name="T5" fmla="*/ 5 h 25"/>
                <a:gd name="T6" fmla="*/ 18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2 w 22"/>
                <a:gd name="T13" fmla="*/ 24 h 25"/>
                <a:gd name="T14" fmla="*/ 10 w 22"/>
                <a:gd name="T15" fmla="*/ 24 h 25"/>
                <a:gd name="T16" fmla="*/ 8 w 22"/>
                <a:gd name="T17" fmla="*/ 25 h 25"/>
                <a:gd name="T18" fmla="*/ 7 w 22"/>
                <a:gd name="T19" fmla="*/ 25 h 25"/>
                <a:gd name="T20" fmla="*/ 5 w 22"/>
                <a:gd name="T21" fmla="*/ 25 h 25"/>
                <a:gd name="T22" fmla="*/ 3 w 22"/>
                <a:gd name="T23" fmla="*/ 24 h 25"/>
                <a:gd name="T24" fmla="*/ 1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3 w 22"/>
                <a:gd name="T33" fmla="*/ 5 h 25"/>
                <a:gd name="T34" fmla="*/ 2 w 22"/>
                <a:gd name="T35" fmla="*/ 2 h 25"/>
                <a:gd name="T36" fmla="*/ 1 w 22"/>
                <a:gd name="T37" fmla="*/ 2 h 25"/>
                <a:gd name="T38" fmla="*/ 11 w 22"/>
                <a:gd name="T39" fmla="*/ 0 h 25"/>
                <a:gd name="T40" fmla="*/ 10 w 22"/>
                <a:gd name="T41" fmla="*/ 2 h 25"/>
                <a:gd name="T42" fmla="*/ 8 w 22"/>
                <a:gd name="T43" fmla="*/ 3 h 25"/>
                <a:gd name="T44" fmla="*/ 8 w 22"/>
                <a:gd name="T45" fmla="*/ 5 h 25"/>
                <a:gd name="T46" fmla="*/ 5 w 22"/>
                <a:gd name="T47" fmla="*/ 16 h 25"/>
                <a:gd name="T48" fmla="*/ 4 w 22"/>
                <a:gd name="T49" fmla="*/ 18 h 25"/>
                <a:gd name="T50" fmla="*/ 4 w 22"/>
                <a:gd name="T51" fmla="*/ 21 h 25"/>
                <a:gd name="T52" fmla="*/ 6 w 22"/>
                <a:gd name="T53" fmla="*/ 24 h 25"/>
                <a:gd name="T54" fmla="*/ 8 w 22"/>
                <a:gd name="T55" fmla="*/ 24 h 25"/>
                <a:gd name="T56" fmla="*/ 9 w 22"/>
                <a:gd name="T57" fmla="*/ 24 h 25"/>
                <a:gd name="T58" fmla="*/ 10 w 22"/>
                <a:gd name="T59" fmla="*/ 22 h 25"/>
                <a:gd name="T60" fmla="*/ 12 w 22"/>
                <a:gd name="T61" fmla="*/ 21 h 25"/>
                <a:gd name="T62" fmla="*/ 13 w 22"/>
                <a:gd name="T63" fmla="*/ 19 h 25"/>
                <a:gd name="T64" fmla="*/ 14 w 22"/>
                <a:gd name="T65" fmla="*/ 18 h 25"/>
                <a:gd name="T66" fmla="*/ 17 w 22"/>
                <a:gd name="T67" fmla="*/ 6 h 25"/>
                <a:gd name="T68" fmla="*/ 17 w 22"/>
                <a:gd name="T69" fmla="*/ 3 h 25"/>
                <a:gd name="T70" fmla="*/ 15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3"/>
                  </a:lnTo>
                  <a:lnTo>
                    <a:pt x="19" y="5"/>
                  </a:lnTo>
                  <a:lnTo>
                    <a:pt x="18" y="5"/>
                  </a:lnTo>
                  <a:lnTo>
                    <a:pt x="18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3" y="22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3" y="6"/>
                  </a:lnTo>
                  <a:lnTo>
                    <a:pt x="3" y="5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5" y="16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2"/>
                  </a:lnTo>
                  <a:lnTo>
                    <a:pt x="11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4" name="Freeform 23"/>
            <xdr:cNvSpPr>
              <a:spLocks/>
            </xdr:cNvSpPr>
          </xdr:nvSpPr>
          <xdr:spPr bwMode="auto">
            <a:xfrm>
              <a:off x="413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5" name="Freeform 24"/>
            <xdr:cNvSpPr>
              <a:spLocks/>
            </xdr:cNvSpPr>
          </xdr:nvSpPr>
          <xdr:spPr bwMode="auto">
            <a:xfrm>
              <a:off x="434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6" name="Freeform 25"/>
            <xdr:cNvSpPr>
              <a:spLocks/>
            </xdr:cNvSpPr>
          </xdr:nvSpPr>
          <xdr:spPr bwMode="auto">
            <a:xfrm>
              <a:off x="451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1 w 16"/>
                <a:gd name="T27" fmla="*/ 24 h 25"/>
                <a:gd name="T28" fmla="*/ 11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4 w 16"/>
                <a:gd name="T41" fmla="*/ 22 h 25"/>
                <a:gd name="T42" fmla="*/ 4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7" name="Freeform 26"/>
            <xdr:cNvSpPr>
              <a:spLocks noEditPoints="1"/>
            </xdr:cNvSpPr>
          </xdr:nvSpPr>
          <xdr:spPr bwMode="auto">
            <a:xfrm>
              <a:off x="465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5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3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9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20 w 20"/>
                <a:gd name="T47" fmla="*/ 13 h 25"/>
                <a:gd name="T48" fmla="*/ 19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3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3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5 w 20"/>
                <a:gd name="T81" fmla="*/ 16 h 25"/>
                <a:gd name="T82" fmla="*/ 5 w 20"/>
                <a:gd name="T83" fmla="*/ 19 h 25"/>
                <a:gd name="T84" fmla="*/ 5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2 w 20"/>
                <a:gd name="T93" fmla="*/ 22 h 25"/>
                <a:gd name="T94" fmla="*/ 13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20" y="12"/>
                  </a:lnTo>
                  <a:lnTo>
                    <a:pt x="20" y="13"/>
                  </a:lnTo>
                  <a:lnTo>
                    <a:pt x="19" y="13"/>
                  </a:lnTo>
                  <a:lnTo>
                    <a:pt x="19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3" y="0"/>
                  </a:lnTo>
                  <a:lnTo>
                    <a:pt x="12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8" name="Freeform 27"/>
            <xdr:cNvSpPr>
              <a:spLocks/>
            </xdr:cNvSpPr>
          </xdr:nvSpPr>
          <xdr:spPr bwMode="auto">
            <a:xfrm>
              <a:off x="485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1 w 26"/>
                <a:gd name="T7" fmla="*/ 5 h 25"/>
                <a:gd name="T8" fmla="*/ 21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4 w 26"/>
                <a:gd name="T25" fmla="*/ 2 h 25"/>
                <a:gd name="T26" fmla="*/ 23 w 26"/>
                <a:gd name="T27" fmla="*/ 3 h 25"/>
                <a:gd name="T28" fmla="*/ 22 w 26"/>
                <a:gd name="T29" fmla="*/ 3 h 25"/>
                <a:gd name="T30" fmla="*/ 22 w 26"/>
                <a:gd name="T31" fmla="*/ 5 h 25"/>
                <a:gd name="T32" fmla="*/ 22 w 26"/>
                <a:gd name="T33" fmla="*/ 6 h 25"/>
                <a:gd name="T34" fmla="*/ 17 w 26"/>
                <a:gd name="T35" fmla="*/ 25 h 25"/>
                <a:gd name="T36" fmla="*/ 16 w 26"/>
                <a:gd name="T37" fmla="*/ 25 h 25"/>
                <a:gd name="T38" fmla="*/ 8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0 w 26"/>
                <a:gd name="T59" fmla="*/ 24 h 25"/>
                <a:gd name="T60" fmla="*/ 1 w 26"/>
                <a:gd name="T61" fmla="*/ 24 h 25"/>
                <a:gd name="T62" fmla="*/ 2 w 26"/>
                <a:gd name="T63" fmla="*/ 24 h 25"/>
                <a:gd name="T64" fmla="*/ 3 w 26"/>
                <a:gd name="T65" fmla="*/ 22 h 25"/>
                <a:gd name="T66" fmla="*/ 3 w 26"/>
                <a:gd name="T67" fmla="*/ 21 h 25"/>
                <a:gd name="T68" fmla="*/ 7 w 26"/>
                <a:gd name="T69" fmla="*/ 3 h 25"/>
                <a:gd name="T70" fmla="*/ 7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2"/>
                  </a:lnTo>
                  <a:lnTo>
                    <a:pt x="23" y="3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8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9" name="Freeform 28"/>
            <xdr:cNvSpPr>
              <a:spLocks/>
            </xdr:cNvSpPr>
          </xdr:nvSpPr>
          <xdr:spPr bwMode="auto">
            <a:xfrm>
              <a:off x="507" y="156"/>
              <a:ext cx="23" cy="25"/>
            </a:xfrm>
            <a:custGeom>
              <a:avLst/>
              <a:gdLst>
                <a:gd name="T0" fmla="*/ 11 w 23"/>
                <a:gd name="T1" fmla="*/ 12 h 25"/>
                <a:gd name="T2" fmla="*/ 13 w 23"/>
                <a:gd name="T3" fmla="*/ 12 h 25"/>
                <a:gd name="T4" fmla="*/ 14 w 23"/>
                <a:gd name="T5" fmla="*/ 12 h 25"/>
                <a:gd name="T6" fmla="*/ 16 w 23"/>
                <a:gd name="T7" fmla="*/ 11 h 25"/>
                <a:gd name="T8" fmla="*/ 17 w 23"/>
                <a:gd name="T9" fmla="*/ 9 h 25"/>
                <a:gd name="T10" fmla="*/ 18 w 23"/>
                <a:gd name="T11" fmla="*/ 8 h 25"/>
                <a:gd name="T12" fmla="*/ 15 w 23"/>
                <a:gd name="T13" fmla="*/ 16 h 25"/>
                <a:gd name="T14" fmla="*/ 15 w 23"/>
                <a:gd name="T15" fmla="*/ 13 h 25"/>
                <a:gd name="T16" fmla="*/ 13 w 23"/>
                <a:gd name="T17" fmla="*/ 13 h 25"/>
                <a:gd name="T18" fmla="*/ 12 w 23"/>
                <a:gd name="T19" fmla="*/ 13 h 25"/>
                <a:gd name="T20" fmla="*/ 8 w 23"/>
                <a:gd name="T21" fmla="*/ 21 h 25"/>
                <a:gd name="T22" fmla="*/ 8 w 23"/>
                <a:gd name="T23" fmla="*/ 24 h 25"/>
                <a:gd name="T24" fmla="*/ 10 w 23"/>
                <a:gd name="T25" fmla="*/ 24 h 25"/>
                <a:gd name="T26" fmla="*/ 12 w 23"/>
                <a:gd name="T27" fmla="*/ 24 h 25"/>
                <a:gd name="T28" fmla="*/ 13 w 23"/>
                <a:gd name="T29" fmla="*/ 24 h 25"/>
                <a:gd name="T30" fmla="*/ 15 w 23"/>
                <a:gd name="T31" fmla="*/ 24 h 25"/>
                <a:gd name="T32" fmla="*/ 17 w 23"/>
                <a:gd name="T33" fmla="*/ 21 h 25"/>
                <a:gd name="T34" fmla="*/ 19 w 23"/>
                <a:gd name="T35" fmla="*/ 19 h 25"/>
                <a:gd name="T36" fmla="*/ 18 w 23"/>
                <a:gd name="T37" fmla="*/ 25 h 25"/>
                <a:gd name="T38" fmla="*/ 0 w 23"/>
                <a:gd name="T39" fmla="*/ 24 h 25"/>
                <a:gd name="T40" fmla="*/ 2 w 23"/>
                <a:gd name="T41" fmla="*/ 24 h 25"/>
                <a:gd name="T42" fmla="*/ 4 w 23"/>
                <a:gd name="T43" fmla="*/ 22 h 25"/>
                <a:gd name="T44" fmla="*/ 8 w 23"/>
                <a:gd name="T45" fmla="*/ 6 h 25"/>
                <a:gd name="T46" fmla="*/ 8 w 23"/>
                <a:gd name="T47" fmla="*/ 3 h 25"/>
                <a:gd name="T48" fmla="*/ 6 w 23"/>
                <a:gd name="T49" fmla="*/ 2 h 25"/>
                <a:gd name="T50" fmla="*/ 6 w 23"/>
                <a:gd name="T51" fmla="*/ 0 h 25"/>
                <a:gd name="T52" fmla="*/ 21 w 23"/>
                <a:gd name="T53" fmla="*/ 8 h 25"/>
                <a:gd name="T54" fmla="*/ 20 w 23"/>
                <a:gd name="T55" fmla="*/ 6 h 25"/>
                <a:gd name="T56" fmla="*/ 20 w 23"/>
                <a:gd name="T57" fmla="*/ 5 h 25"/>
                <a:gd name="T58" fmla="*/ 19 w 23"/>
                <a:gd name="T59" fmla="*/ 3 h 25"/>
                <a:gd name="T60" fmla="*/ 17 w 23"/>
                <a:gd name="T61" fmla="*/ 2 h 25"/>
                <a:gd name="T62" fmla="*/ 15 w 23"/>
                <a:gd name="T63" fmla="*/ 2 h 2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3"/>
                <a:gd name="T97" fmla="*/ 0 h 25"/>
                <a:gd name="T98" fmla="*/ 23 w 23"/>
                <a:gd name="T99" fmla="*/ 25 h 2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3" h="25">
                  <a:moveTo>
                    <a:pt x="13" y="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8" y="8"/>
                  </a:lnTo>
                  <a:lnTo>
                    <a:pt x="16" y="16"/>
                  </a:lnTo>
                  <a:lnTo>
                    <a:pt x="15" y="16"/>
                  </a:lnTo>
                  <a:lnTo>
                    <a:pt x="15" y="15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4"/>
                  </a:lnTo>
                  <a:lnTo>
                    <a:pt x="16" y="22"/>
                  </a:lnTo>
                  <a:lnTo>
                    <a:pt x="17" y="21"/>
                  </a:lnTo>
                  <a:lnTo>
                    <a:pt x="18" y="21"/>
                  </a:lnTo>
                  <a:lnTo>
                    <a:pt x="19" y="19"/>
                  </a:lnTo>
                  <a:lnTo>
                    <a:pt x="20" y="19"/>
                  </a:lnTo>
                  <a:lnTo>
                    <a:pt x="18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23" y="0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6"/>
                  </a:lnTo>
                  <a:lnTo>
                    <a:pt x="20" y="5"/>
                  </a:lnTo>
                  <a:lnTo>
                    <a:pt x="20" y="3"/>
                  </a:lnTo>
                  <a:lnTo>
                    <a:pt x="19" y="3"/>
                  </a:lnTo>
                  <a:lnTo>
                    <a:pt x="18" y="2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3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0" name="Freeform 29"/>
            <xdr:cNvSpPr>
              <a:spLocks/>
            </xdr:cNvSpPr>
          </xdr:nvSpPr>
          <xdr:spPr bwMode="auto">
            <a:xfrm>
              <a:off x="527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1" name="Freeform 30"/>
            <xdr:cNvSpPr>
              <a:spLocks/>
            </xdr:cNvSpPr>
          </xdr:nvSpPr>
          <xdr:spPr bwMode="auto">
            <a:xfrm>
              <a:off x="552" y="156"/>
              <a:ext cx="18" cy="25"/>
            </a:xfrm>
            <a:custGeom>
              <a:avLst/>
              <a:gdLst>
                <a:gd name="T0" fmla="*/ 17 w 18"/>
                <a:gd name="T1" fmla="*/ 9 h 25"/>
                <a:gd name="T2" fmla="*/ 16 w 18"/>
                <a:gd name="T3" fmla="*/ 8 h 25"/>
                <a:gd name="T4" fmla="*/ 16 w 18"/>
                <a:gd name="T5" fmla="*/ 5 h 25"/>
                <a:gd name="T6" fmla="*/ 15 w 18"/>
                <a:gd name="T7" fmla="*/ 3 h 25"/>
                <a:gd name="T8" fmla="*/ 13 w 18"/>
                <a:gd name="T9" fmla="*/ 0 h 25"/>
                <a:gd name="T10" fmla="*/ 11 w 18"/>
                <a:gd name="T11" fmla="*/ 0 h 25"/>
                <a:gd name="T12" fmla="*/ 10 w 18"/>
                <a:gd name="T13" fmla="*/ 2 h 25"/>
                <a:gd name="T14" fmla="*/ 9 w 18"/>
                <a:gd name="T15" fmla="*/ 5 h 25"/>
                <a:gd name="T16" fmla="*/ 9 w 18"/>
                <a:gd name="T17" fmla="*/ 8 h 25"/>
                <a:gd name="T18" fmla="*/ 10 w 18"/>
                <a:gd name="T19" fmla="*/ 9 h 25"/>
                <a:gd name="T20" fmla="*/ 10 w 18"/>
                <a:gd name="T21" fmla="*/ 11 h 25"/>
                <a:gd name="T22" fmla="*/ 11 w 18"/>
                <a:gd name="T23" fmla="*/ 12 h 25"/>
                <a:gd name="T24" fmla="*/ 13 w 18"/>
                <a:gd name="T25" fmla="*/ 13 h 25"/>
                <a:gd name="T26" fmla="*/ 14 w 18"/>
                <a:gd name="T27" fmla="*/ 15 h 25"/>
                <a:gd name="T28" fmla="*/ 15 w 18"/>
                <a:gd name="T29" fmla="*/ 18 h 25"/>
                <a:gd name="T30" fmla="*/ 15 w 18"/>
                <a:gd name="T31" fmla="*/ 21 h 25"/>
                <a:gd name="T32" fmla="*/ 13 w 18"/>
                <a:gd name="T33" fmla="*/ 24 h 25"/>
                <a:gd name="T34" fmla="*/ 11 w 18"/>
                <a:gd name="T35" fmla="*/ 24 h 25"/>
                <a:gd name="T36" fmla="*/ 10 w 18"/>
                <a:gd name="T37" fmla="*/ 25 h 25"/>
                <a:gd name="T38" fmla="*/ 8 w 18"/>
                <a:gd name="T39" fmla="*/ 25 h 25"/>
                <a:gd name="T40" fmla="*/ 6 w 18"/>
                <a:gd name="T41" fmla="*/ 25 h 25"/>
                <a:gd name="T42" fmla="*/ 4 w 18"/>
                <a:gd name="T43" fmla="*/ 24 h 25"/>
                <a:gd name="T44" fmla="*/ 3 w 18"/>
                <a:gd name="T45" fmla="*/ 24 h 25"/>
                <a:gd name="T46" fmla="*/ 2 w 18"/>
                <a:gd name="T47" fmla="*/ 25 h 25"/>
                <a:gd name="T48" fmla="*/ 0 w 18"/>
                <a:gd name="T49" fmla="*/ 25 h 25"/>
                <a:gd name="T50" fmla="*/ 3 w 18"/>
                <a:gd name="T51" fmla="*/ 18 h 25"/>
                <a:gd name="T52" fmla="*/ 3 w 18"/>
                <a:gd name="T53" fmla="*/ 19 h 25"/>
                <a:gd name="T54" fmla="*/ 4 w 18"/>
                <a:gd name="T55" fmla="*/ 21 h 25"/>
                <a:gd name="T56" fmla="*/ 5 w 18"/>
                <a:gd name="T57" fmla="*/ 24 h 25"/>
                <a:gd name="T58" fmla="*/ 7 w 18"/>
                <a:gd name="T59" fmla="*/ 24 h 25"/>
                <a:gd name="T60" fmla="*/ 9 w 18"/>
                <a:gd name="T61" fmla="*/ 24 h 25"/>
                <a:gd name="T62" fmla="*/ 10 w 18"/>
                <a:gd name="T63" fmla="*/ 24 h 25"/>
                <a:gd name="T64" fmla="*/ 11 w 18"/>
                <a:gd name="T65" fmla="*/ 21 h 25"/>
                <a:gd name="T66" fmla="*/ 10 w 18"/>
                <a:gd name="T67" fmla="*/ 18 h 25"/>
                <a:gd name="T68" fmla="*/ 10 w 18"/>
                <a:gd name="T69" fmla="*/ 16 h 25"/>
                <a:gd name="T70" fmla="*/ 9 w 18"/>
                <a:gd name="T71" fmla="*/ 15 h 25"/>
                <a:gd name="T72" fmla="*/ 8 w 18"/>
                <a:gd name="T73" fmla="*/ 13 h 25"/>
                <a:gd name="T74" fmla="*/ 7 w 18"/>
                <a:gd name="T75" fmla="*/ 12 h 25"/>
                <a:gd name="T76" fmla="*/ 5 w 18"/>
                <a:gd name="T77" fmla="*/ 9 h 25"/>
                <a:gd name="T78" fmla="*/ 5 w 18"/>
                <a:gd name="T79" fmla="*/ 6 h 25"/>
                <a:gd name="T80" fmla="*/ 6 w 18"/>
                <a:gd name="T81" fmla="*/ 5 h 25"/>
                <a:gd name="T82" fmla="*/ 7 w 18"/>
                <a:gd name="T83" fmla="*/ 2 h 25"/>
                <a:gd name="T84" fmla="*/ 9 w 18"/>
                <a:gd name="T85" fmla="*/ 0 h 25"/>
                <a:gd name="T86" fmla="*/ 10 w 18"/>
                <a:gd name="T87" fmla="*/ 0 h 25"/>
                <a:gd name="T88" fmla="*/ 12 w 18"/>
                <a:gd name="T89" fmla="*/ 0 h 25"/>
                <a:gd name="T90" fmla="*/ 14 w 18"/>
                <a:gd name="T91" fmla="*/ 0 h 25"/>
                <a:gd name="T92" fmla="*/ 16 w 18"/>
                <a:gd name="T93" fmla="*/ 0 h 25"/>
                <a:gd name="T94" fmla="*/ 17 w 18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8"/>
                <a:gd name="T145" fmla="*/ 0 h 25"/>
                <a:gd name="T146" fmla="*/ 18 w 18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8" h="25">
                  <a:moveTo>
                    <a:pt x="18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0" y="11"/>
                  </a:lnTo>
                  <a:lnTo>
                    <a:pt x="11" y="11"/>
                  </a:lnTo>
                  <a:lnTo>
                    <a:pt x="11" y="12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3" y="19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1" y="19"/>
                  </a:lnTo>
                  <a:lnTo>
                    <a:pt x="10" y="18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2" name="Freeform 31"/>
            <xdr:cNvSpPr>
              <a:spLocks/>
            </xdr:cNvSpPr>
          </xdr:nvSpPr>
          <xdr:spPr bwMode="auto">
            <a:xfrm>
              <a:off x="569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3" name="Freeform 32"/>
            <xdr:cNvSpPr>
              <a:spLocks noEditPoints="1"/>
            </xdr:cNvSpPr>
          </xdr:nvSpPr>
          <xdr:spPr bwMode="auto">
            <a:xfrm>
              <a:off x="576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7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20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1 w 21"/>
                <a:gd name="T31" fmla="*/ 9 h 25"/>
                <a:gd name="T32" fmla="*/ 19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9 w 21"/>
                <a:gd name="T39" fmla="*/ 22 h 25"/>
                <a:gd name="T40" fmla="*/ 20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2 w 21"/>
                <a:gd name="T51" fmla="*/ 12 h 25"/>
                <a:gd name="T52" fmla="*/ 14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4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2"/>
                  </a:lnTo>
                  <a:lnTo>
                    <a:pt x="21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9" y="22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4" name="Freeform 33"/>
            <xdr:cNvSpPr>
              <a:spLocks/>
            </xdr:cNvSpPr>
          </xdr:nvSpPr>
          <xdr:spPr bwMode="auto">
            <a:xfrm>
              <a:off x="597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5" name="Freeform 34"/>
            <xdr:cNvSpPr>
              <a:spLocks/>
            </xdr:cNvSpPr>
          </xdr:nvSpPr>
          <xdr:spPr bwMode="auto">
            <a:xfrm>
              <a:off x="604" y="156"/>
              <a:ext cx="19" cy="25"/>
            </a:xfrm>
            <a:custGeom>
              <a:avLst/>
              <a:gdLst>
                <a:gd name="T0" fmla="*/ 17 w 19"/>
                <a:gd name="T1" fmla="*/ 25 h 25"/>
                <a:gd name="T2" fmla="*/ 0 w 19"/>
                <a:gd name="T3" fmla="*/ 25 h 25"/>
                <a:gd name="T4" fmla="*/ 0 w 19"/>
                <a:gd name="T5" fmla="*/ 24 h 25"/>
                <a:gd name="T6" fmla="*/ 1 w 19"/>
                <a:gd name="T7" fmla="*/ 24 h 25"/>
                <a:gd name="T8" fmla="*/ 2 w 19"/>
                <a:gd name="T9" fmla="*/ 24 h 25"/>
                <a:gd name="T10" fmla="*/ 3 w 19"/>
                <a:gd name="T11" fmla="*/ 24 h 25"/>
                <a:gd name="T12" fmla="*/ 4 w 19"/>
                <a:gd name="T13" fmla="*/ 22 h 25"/>
                <a:gd name="T14" fmla="*/ 4 w 19"/>
                <a:gd name="T15" fmla="*/ 21 h 25"/>
                <a:gd name="T16" fmla="*/ 8 w 19"/>
                <a:gd name="T17" fmla="*/ 6 h 25"/>
                <a:gd name="T18" fmla="*/ 8 w 19"/>
                <a:gd name="T19" fmla="*/ 5 h 25"/>
                <a:gd name="T20" fmla="*/ 8 w 19"/>
                <a:gd name="T21" fmla="*/ 3 h 25"/>
                <a:gd name="T22" fmla="*/ 7 w 19"/>
                <a:gd name="T23" fmla="*/ 2 h 25"/>
                <a:gd name="T24" fmla="*/ 7 w 19"/>
                <a:gd name="T25" fmla="*/ 2 h 25"/>
                <a:gd name="T26" fmla="*/ 6 w 19"/>
                <a:gd name="T27" fmla="*/ 2 h 25"/>
                <a:gd name="T28" fmla="*/ 7 w 19"/>
                <a:gd name="T29" fmla="*/ 0 h 25"/>
                <a:gd name="T30" fmla="*/ 16 w 19"/>
                <a:gd name="T31" fmla="*/ 0 h 25"/>
                <a:gd name="T32" fmla="*/ 15 w 19"/>
                <a:gd name="T33" fmla="*/ 2 h 25"/>
                <a:gd name="T34" fmla="*/ 14 w 19"/>
                <a:gd name="T35" fmla="*/ 2 h 25"/>
                <a:gd name="T36" fmla="*/ 14 w 19"/>
                <a:gd name="T37" fmla="*/ 3 h 25"/>
                <a:gd name="T38" fmla="*/ 14 w 19"/>
                <a:gd name="T39" fmla="*/ 5 h 25"/>
                <a:gd name="T40" fmla="*/ 13 w 19"/>
                <a:gd name="T41" fmla="*/ 5 h 25"/>
                <a:gd name="T42" fmla="*/ 13 w 19"/>
                <a:gd name="T43" fmla="*/ 6 h 25"/>
                <a:gd name="T44" fmla="*/ 9 w 19"/>
                <a:gd name="T45" fmla="*/ 21 h 25"/>
                <a:gd name="T46" fmla="*/ 8 w 19"/>
                <a:gd name="T47" fmla="*/ 22 h 25"/>
                <a:gd name="T48" fmla="*/ 8 w 19"/>
                <a:gd name="T49" fmla="*/ 24 h 25"/>
                <a:gd name="T50" fmla="*/ 9 w 19"/>
                <a:gd name="T51" fmla="*/ 24 h 25"/>
                <a:gd name="T52" fmla="*/ 10 w 19"/>
                <a:gd name="T53" fmla="*/ 24 h 25"/>
                <a:gd name="T54" fmla="*/ 11 w 19"/>
                <a:gd name="T55" fmla="*/ 24 h 25"/>
                <a:gd name="T56" fmla="*/ 12 w 19"/>
                <a:gd name="T57" fmla="*/ 24 h 25"/>
                <a:gd name="T58" fmla="*/ 13 w 19"/>
                <a:gd name="T59" fmla="*/ 24 h 25"/>
                <a:gd name="T60" fmla="*/ 14 w 19"/>
                <a:gd name="T61" fmla="*/ 24 h 25"/>
                <a:gd name="T62" fmla="*/ 14 w 19"/>
                <a:gd name="T63" fmla="*/ 24 h 25"/>
                <a:gd name="T64" fmla="*/ 15 w 19"/>
                <a:gd name="T65" fmla="*/ 22 h 25"/>
                <a:gd name="T66" fmla="*/ 16 w 19"/>
                <a:gd name="T67" fmla="*/ 21 h 25"/>
                <a:gd name="T68" fmla="*/ 17 w 19"/>
                <a:gd name="T69" fmla="*/ 21 h 25"/>
                <a:gd name="T70" fmla="*/ 18 w 19"/>
                <a:gd name="T71" fmla="*/ 19 h 25"/>
                <a:gd name="T72" fmla="*/ 19 w 19"/>
                <a:gd name="T73" fmla="*/ 19 h 25"/>
                <a:gd name="T74" fmla="*/ 17 w 19"/>
                <a:gd name="T75" fmla="*/ 25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19"/>
                <a:gd name="T115" fmla="*/ 0 h 25"/>
                <a:gd name="T116" fmla="*/ 19 w 19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19" h="25">
                  <a:moveTo>
                    <a:pt x="17" y="25"/>
                  </a:move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7" y="0"/>
                  </a:lnTo>
                  <a:lnTo>
                    <a:pt x="16" y="0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4" y="3"/>
                  </a:lnTo>
                  <a:lnTo>
                    <a:pt x="14" y="5"/>
                  </a:lnTo>
                  <a:lnTo>
                    <a:pt x="13" y="5"/>
                  </a:lnTo>
                  <a:lnTo>
                    <a:pt x="13" y="6"/>
                  </a:lnTo>
                  <a:lnTo>
                    <a:pt x="9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2"/>
                  </a:lnTo>
                  <a:lnTo>
                    <a:pt x="16" y="21"/>
                  </a:lnTo>
                  <a:lnTo>
                    <a:pt x="17" y="21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6" name="Freeform 35"/>
            <xdr:cNvSpPr>
              <a:spLocks/>
            </xdr:cNvSpPr>
          </xdr:nvSpPr>
          <xdr:spPr bwMode="auto">
            <a:xfrm>
              <a:off x="623" y="177"/>
              <a:ext cx="3" cy="4"/>
            </a:xfrm>
            <a:custGeom>
              <a:avLst/>
              <a:gdLst>
                <a:gd name="T0" fmla="*/ 2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2 w 3"/>
                <a:gd name="T15" fmla="*/ 4 h 4"/>
                <a:gd name="T16" fmla="*/ 1 w 3"/>
                <a:gd name="T17" fmla="*/ 4 h 4"/>
                <a:gd name="T18" fmla="*/ 1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1 w 3"/>
                <a:gd name="T25" fmla="*/ 1 h 4"/>
                <a:gd name="T26" fmla="*/ 1 w 3"/>
                <a:gd name="T27" fmla="*/ 0 h 4"/>
                <a:gd name="T28" fmla="*/ 2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2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7" name="Freeform 36"/>
            <xdr:cNvSpPr>
              <a:spLocks/>
            </xdr:cNvSpPr>
          </xdr:nvSpPr>
          <xdr:spPr bwMode="auto">
            <a:xfrm>
              <a:off x="116" y="281"/>
              <a:ext cx="431" cy="4"/>
            </a:xfrm>
            <a:custGeom>
              <a:avLst/>
              <a:gdLst>
                <a:gd name="T0" fmla="*/ 431 w 431"/>
                <a:gd name="T1" fmla="*/ 1 h 4"/>
                <a:gd name="T2" fmla="*/ 431 w 431"/>
                <a:gd name="T3" fmla="*/ 0 h 4"/>
                <a:gd name="T4" fmla="*/ 0 w 431"/>
                <a:gd name="T5" fmla="*/ 0 h 4"/>
                <a:gd name="T6" fmla="*/ 0 w 431"/>
                <a:gd name="T7" fmla="*/ 4 h 4"/>
                <a:gd name="T8" fmla="*/ 431 w 431"/>
                <a:gd name="T9" fmla="*/ 4 h 4"/>
                <a:gd name="T10" fmla="*/ 431 w 43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31"/>
                <a:gd name="T19" fmla="*/ 0 h 4"/>
                <a:gd name="T20" fmla="*/ 431 w 43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31" h="4">
                  <a:moveTo>
                    <a:pt x="431" y="1"/>
                  </a:moveTo>
                  <a:lnTo>
                    <a:pt x="43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31" y="4"/>
                  </a:lnTo>
                  <a:lnTo>
                    <a:pt x="43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8" name="Freeform 37"/>
            <xdr:cNvSpPr>
              <a:spLocks/>
            </xdr:cNvSpPr>
          </xdr:nvSpPr>
          <xdr:spPr bwMode="auto">
            <a:xfrm>
              <a:off x="618" y="238"/>
              <a:ext cx="11" cy="4"/>
            </a:xfrm>
            <a:custGeom>
              <a:avLst/>
              <a:gdLst>
                <a:gd name="T0" fmla="*/ 11 w 11"/>
                <a:gd name="T1" fmla="*/ 1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1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9" name="Freeform 38"/>
            <xdr:cNvSpPr>
              <a:spLocks/>
            </xdr:cNvSpPr>
          </xdr:nvSpPr>
          <xdr:spPr bwMode="auto">
            <a:xfrm>
              <a:off x="607" y="222"/>
              <a:ext cx="12" cy="18"/>
            </a:xfrm>
            <a:custGeom>
              <a:avLst/>
              <a:gdLst>
                <a:gd name="T0" fmla="*/ 1 w 12"/>
                <a:gd name="T1" fmla="*/ 1 h 18"/>
                <a:gd name="T2" fmla="*/ 0 w 12"/>
                <a:gd name="T3" fmla="*/ 3 h 18"/>
                <a:gd name="T4" fmla="*/ 10 w 12"/>
                <a:gd name="T5" fmla="*/ 18 h 18"/>
                <a:gd name="T6" fmla="*/ 12 w 12"/>
                <a:gd name="T7" fmla="*/ 16 h 18"/>
                <a:gd name="T8" fmla="*/ 2 w 12"/>
                <a:gd name="T9" fmla="*/ 0 h 18"/>
                <a:gd name="T10" fmla="*/ 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" y="1"/>
                  </a:moveTo>
                  <a:lnTo>
                    <a:pt x="0" y="3"/>
                  </a:lnTo>
                  <a:lnTo>
                    <a:pt x="10" y="18"/>
                  </a:lnTo>
                  <a:lnTo>
                    <a:pt x="12" y="16"/>
                  </a:lnTo>
                  <a:lnTo>
                    <a:pt x="2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0" name="Freeform 39"/>
            <xdr:cNvSpPr>
              <a:spLocks/>
            </xdr:cNvSpPr>
          </xdr:nvSpPr>
          <xdr:spPr bwMode="auto">
            <a:xfrm>
              <a:off x="554" y="206"/>
              <a:ext cx="75" cy="4"/>
            </a:xfrm>
            <a:custGeom>
              <a:avLst/>
              <a:gdLst>
                <a:gd name="T0" fmla="*/ 0 w 75"/>
                <a:gd name="T1" fmla="*/ 1 h 4"/>
                <a:gd name="T2" fmla="*/ 0 w 75"/>
                <a:gd name="T3" fmla="*/ 4 h 4"/>
                <a:gd name="T4" fmla="*/ 75 w 75"/>
                <a:gd name="T5" fmla="*/ 4 h 4"/>
                <a:gd name="T6" fmla="*/ 75 w 75"/>
                <a:gd name="T7" fmla="*/ 0 h 4"/>
                <a:gd name="T8" fmla="*/ 0 w 75"/>
                <a:gd name="T9" fmla="*/ 0 h 4"/>
                <a:gd name="T10" fmla="*/ 0 w 75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4"/>
                <a:gd name="T20" fmla="*/ 75 w 7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4">
                  <a:moveTo>
                    <a:pt x="0" y="1"/>
                  </a:moveTo>
                  <a:lnTo>
                    <a:pt x="0" y="4"/>
                  </a:lnTo>
                  <a:lnTo>
                    <a:pt x="75" y="4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1" name="Freeform 40"/>
            <xdr:cNvSpPr>
              <a:spLocks/>
            </xdr:cNvSpPr>
          </xdr:nvSpPr>
          <xdr:spPr bwMode="auto">
            <a:xfrm>
              <a:off x="628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2" name="Freeform 41"/>
            <xdr:cNvSpPr>
              <a:spLocks/>
            </xdr:cNvSpPr>
          </xdr:nvSpPr>
          <xdr:spPr bwMode="auto">
            <a:xfrm>
              <a:off x="597" y="222"/>
              <a:ext cx="12" cy="18"/>
            </a:xfrm>
            <a:custGeom>
              <a:avLst/>
              <a:gdLst>
                <a:gd name="T0" fmla="*/ 11 w 12"/>
                <a:gd name="T1" fmla="*/ 1 h 18"/>
                <a:gd name="T2" fmla="*/ 10 w 12"/>
                <a:gd name="T3" fmla="*/ 0 h 18"/>
                <a:gd name="T4" fmla="*/ 0 w 12"/>
                <a:gd name="T5" fmla="*/ 16 h 18"/>
                <a:gd name="T6" fmla="*/ 1 w 12"/>
                <a:gd name="T7" fmla="*/ 18 h 18"/>
                <a:gd name="T8" fmla="*/ 12 w 12"/>
                <a:gd name="T9" fmla="*/ 3 h 18"/>
                <a:gd name="T10" fmla="*/ 1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1" y="1"/>
                  </a:move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lnTo>
                    <a:pt x="12" y="3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3" name="Freeform 42"/>
            <xdr:cNvSpPr>
              <a:spLocks/>
            </xdr:cNvSpPr>
          </xdr:nvSpPr>
          <xdr:spPr bwMode="auto">
            <a:xfrm>
              <a:off x="553" y="238"/>
              <a:ext cx="44" cy="4"/>
            </a:xfrm>
            <a:custGeom>
              <a:avLst/>
              <a:gdLst>
                <a:gd name="T0" fmla="*/ 44 w 44"/>
                <a:gd name="T1" fmla="*/ 1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1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4" name="Freeform 43"/>
            <xdr:cNvSpPr>
              <a:spLocks/>
            </xdr:cNvSpPr>
          </xdr:nvSpPr>
          <xdr:spPr bwMode="auto">
            <a:xfrm>
              <a:off x="552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5" name="Freeform 44"/>
            <xdr:cNvSpPr>
              <a:spLocks/>
            </xdr:cNvSpPr>
          </xdr:nvSpPr>
          <xdr:spPr bwMode="auto">
            <a:xfrm>
              <a:off x="618" y="248"/>
              <a:ext cx="11" cy="4"/>
            </a:xfrm>
            <a:custGeom>
              <a:avLst/>
              <a:gdLst>
                <a:gd name="T0" fmla="*/ 11 w 11"/>
                <a:gd name="T1" fmla="*/ 3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3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6" name="Freeform 45"/>
            <xdr:cNvSpPr>
              <a:spLocks/>
            </xdr:cNvSpPr>
          </xdr:nvSpPr>
          <xdr:spPr bwMode="auto">
            <a:xfrm>
              <a:off x="607" y="249"/>
              <a:ext cx="12" cy="20"/>
            </a:xfrm>
            <a:custGeom>
              <a:avLst/>
              <a:gdLst>
                <a:gd name="T0" fmla="*/ 1 w 12"/>
                <a:gd name="T1" fmla="*/ 18 h 20"/>
                <a:gd name="T2" fmla="*/ 2 w 12"/>
                <a:gd name="T3" fmla="*/ 20 h 20"/>
                <a:gd name="T4" fmla="*/ 12 w 12"/>
                <a:gd name="T5" fmla="*/ 3 h 20"/>
                <a:gd name="T6" fmla="*/ 10 w 12"/>
                <a:gd name="T7" fmla="*/ 0 h 20"/>
                <a:gd name="T8" fmla="*/ 0 w 12"/>
                <a:gd name="T9" fmla="*/ 16 h 20"/>
                <a:gd name="T10" fmla="*/ 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" y="18"/>
                  </a:moveTo>
                  <a:lnTo>
                    <a:pt x="2" y="20"/>
                  </a:lnTo>
                  <a:lnTo>
                    <a:pt x="12" y="3"/>
                  </a:ln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7" name="Freeform 46"/>
            <xdr:cNvSpPr>
              <a:spLocks/>
            </xdr:cNvSpPr>
          </xdr:nvSpPr>
          <xdr:spPr bwMode="auto">
            <a:xfrm>
              <a:off x="554" y="280"/>
              <a:ext cx="75" cy="5"/>
            </a:xfrm>
            <a:custGeom>
              <a:avLst/>
              <a:gdLst>
                <a:gd name="T0" fmla="*/ 0 w 75"/>
                <a:gd name="T1" fmla="*/ 2 h 5"/>
                <a:gd name="T2" fmla="*/ 0 w 75"/>
                <a:gd name="T3" fmla="*/ 5 h 5"/>
                <a:gd name="T4" fmla="*/ 75 w 75"/>
                <a:gd name="T5" fmla="*/ 5 h 5"/>
                <a:gd name="T6" fmla="*/ 75 w 75"/>
                <a:gd name="T7" fmla="*/ 0 h 5"/>
                <a:gd name="T8" fmla="*/ 0 w 75"/>
                <a:gd name="T9" fmla="*/ 0 h 5"/>
                <a:gd name="T10" fmla="*/ 0 w 75"/>
                <a:gd name="T11" fmla="*/ 2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5"/>
                <a:gd name="T20" fmla="*/ 75 w 7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5">
                  <a:moveTo>
                    <a:pt x="0" y="2"/>
                  </a:moveTo>
                  <a:lnTo>
                    <a:pt x="0" y="5"/>
                  </a:lnTo>
                  <a:lnTo>
                    <a:pt x="75" y="5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8" name="Freeform 47"/>
            <xdr:cNvSpPr>
              <a:spLocks/>
            </xdr:cNvSpPr>
          </xdr:nvSpPr>
          <xdr:spPr bwMode="auto">
            <a:xfrm>
              <a:off x="628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9" name="Freeform 48"/>
            <xdr:cNvSpPr>
              <a:spLocks/>
            </xdr:cNvSpPr>
          </xdr:nvSpPr>
          <xdr:spPr bwMode="auto">
            <a:xfrm>
              <a:off x="597" y="249"/>
              <a:ext cx="12" cy="20"/>
            </a:xfrm>
            <a:custGeom>
              <a:avLst/>
              <a:gdLst>
                <a:gd name="T0" fmla="*/ 11 w 12"/>
                <a:gd name="T1" fmla="*/ 18 h 20"/>
                <a:gd name="T2" fmla="*/ 12 w 12"/>
                <a:gd name="T3" fmla="*/ 16 h 20"/>
                <a:gd name="T4" fmla="*/ 1 w 12"/>
                <a:gd name="T5" fmla="*/ 0 h 20"/>
                <a:gd name="T6" fmla="*/ 0 w 12"/>
                <a:gd name="T7" fmla="*/ 3 h 20"/>
                <a:gd name="T8" fmla="*/ 10 w 12"/>
                <a:gd name="T9" fmla="*/ 20 h 20"/>
                <a:gd name="T10" fmla="*/ 1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1" y="18"/>
                  </a:moveTo>
                  <a:lnTo>
                    <a:pt x="12" y="16"/>
                  </a:lnTo>
                  <a:lnTo>
                    <a:pt x="1" y="0"/>
                  </a:lnTo>
                  <a:lnTo>
                    <a:pt x="0" y="3"/>
                  </a:lnTo>
                  <a:lnTo>
                    <a:pt x="10" y="20"/>
                  </a:lnTo>
                  <a:lnTo>
                    <a:pt x="1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0" name="Freeform 49"/>
            <xdr:cNvSpPr>
              <a:spLocks/>
            </xdr:cNvSpPr>
          </xdr:nvSpPr>
          <xdr:spPr bwMode="auto">
            <a:xfrm>
              <a:off x="553" y="248"/>
              <a:ext cx="44" cy="4"/>
            </a:xfrm>
            <a:custGeom>
              <a:avLst/>
              <a:gdLst>
                <a:gd name="T0" fmla="*/ 44 w 44"/>
                <a:gd name="T1" fmla="*/ 3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3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1" name="Freeform 50"/>
            <xdr:cNvSpPr>
              <a:spLocks/>
            </xdr:cNvSpPr>
          </xdr:nvSpPr>
          <xdr:spPr bwMode="auto">
            <a:xfrm>
              <a:off x="552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2" name="Oval 51"/>
            <xdr:cNvSpPr>
              <a:spLocks noChangeArrowheads="1"/>
            </xdr:cNvSpPr>
          </xdr:nvSpPr>
          <xdr:spPr bwMode="auto">
            <a:xfrm>
              <a:off x="603" y="233"/>
              <a:ext cx="9" cy="18"/>
            </a:xfrm>
            <a:prstGeom prst="ellipse">
              <a:avLst/>
            </a:prstGeom>
            <a:solidFill>
              <a:srgbClr val="A9A8A7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3" name="Freeform 52"/>
            <xdr:cNvSpPr>
              <a:spLocks/>
            </xdr:cNvSpPr>
          </xdr:nvSpPr>
          <xdr:spPr bwMode="auto">
            <a:xfrm>
              <a:off x="602" y="233"/>
              <a:ext cx="6" cy="9"/>
            </a:xfrm>
            <a:custGeom>
              <a:avLst/>
              <a:gdLst>
                <a:gd name="T0" fmla="*/ 2 w 6"/>
                <a:gd name="T1" fmla="*/ 9 h 9"/>
                <a:gd name="T2" fmla="*/ 2 w 6"/>
                <a:gd name="T3" fmla="*/ 9 h 9"/>
                <a:gd name="T4" fmla="*/ 2 w 6"/>
                <a:gd name="T5" fmla="*/ 7 h 9"/>
                <a:gd name="T6" fmla="*/ 2 w 6"/>
                <a:gd name="T7" fmla="*/ 6 h 9"/>
                <a:gd name="T8" fmla="*/ 2 w 6"/>
                <a:gd name="T9" fmla="*/ 5 h 9"/>
                <a:gd name="T10" fmla="*/ 2 w 6"/>
                <a:gd name="T11" fmla="*/ 3 h 9"/>
                <a:gd name="T12" fmla="*/ 3 w 6"/>
                <a:gd name="T13" fmla="*/ 3 h 9"/>
                <a:gd name="T14" fmla="*/ 4 w 6"/>
                <a:gd name="T15" fmla="*/ 2 h 9"/>
                <a:gd name="T16" fmla="*/ 5 w 6"/>
                <a:gd name="T17" fmla="*/ 2 h 9"/>
                <a:gd name="T18" fmla="*/ 6 w 6"/>
                <a:gd name="T19" fmla="*/ 2 h 9"/>
                <a:gd name="T20" fmla="*/ 6 w 6"/>
                <a:gd name="T21" fmla="*/ 0 h 9"/>
                <a:gd name="T22" fmla="*/ 4 w 6"/>
                <a:gd name="T23" fmla="*/ 0 h 9"/>
                <a:gd name="T24" fmla="*/ 3 w 6"/>
                <a:gd name="T25" fmla="*/ 0 h 9"/>
                <a:gd name="T26" fmla="*/ 2 w 6"/>
                <a:gd name="T27" fmla="*/ 2 h 9"/>
                <a:gd name="T28" fmla="*/ 2 w 6"/>
                <a:gd name="T29" fmla="*/ 2 h 9"/>
                <a:gd name="T30" fmla="*/ 2 w 6"/>
                <a:gd name="T31" fmla="*/ 3 h 9"/>
                <a:gd name="T32" fmla="*/ 1 w 6"/>
                <a:gd name="T33" fmla="*/ 5 h 9"/>
                <a:gd name="T34" fmla="*/ 1 w 6"/>
                <a:gd name="T35" fmla="*/ 7 h 9"/>
                <a:gd name="T36" fmla="*/ 0 w 6"/>
                <a:gd name="T37" fmla="*/ 9 h 9"/>
                <a:gd name="T38" fmla="*/ 0 w 6"/>
                <a:gd name="T39" fmla="*/ 9 h 9"/>
                <a:gd name="T40" fmla="*/ 2 w 6"/>
                <a:gd name="T41" fmla="*/ 9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2" y="9"/>
                  </a:moveTo>
                  <a:lnTo>
                    <a:pt x="2" y="9"/>
                  </a:lnTo>
                  <a:lnTo>
                    <a:pt x="2" y="7"/>
                  </a:lnTo>
                  <a:lnTo>
                    <a:pt x="2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2" y="9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4" name="Freeform 53"/>
            <xdr:cNvSpPr>
              <a:spLocks/>
            </xdr:cNvSpPr>
          </xdr:nvSpPr>
          <xdr:spPr bwMode="auto">
            <a:xfrm>
              <a:off x="602" y="242"/>
              <a:ext cx="6" cy="9"/>
            </a:xfrm>
            <a:custGeom>
              <a:avLst/>
              <a:gdLst>
                <a:gd name="T0" fmla="*/ 6 w 6"/>
                <a:gd name="T1" fmla="*/ 7 h 9"/>
                <a:gd name="T2" fmla="*/ 6 w 6"/>
                <a:gd name="T3" fmla="*/ 7 h 9"/>
                <a:gd name="T4" fmla="*/ 5 w 6"/>
                <a:gd name="T5" fmla="*/ 7 h 9"/>
                <a:gd name="T6" fmla="*/ 4 w 6"/>
                <a:gd name="T7" fmla="*/ 7 h 9"/>
                <a:gd name="T8" fmla="*/ 3 w 6"/>
                <a:gd name="T9" fmla="*/ 6 h 9"/>
                <a:gd name="T10" fmla="*/ 2 w 6"/>
                <a:gd name="T11" fmla="*/ 4 h 9"/>
                <a:gd name="T12" fmla="*/ 2 w 6"/>
                <a:gd name="T13" fmla="*/ 4 h 9"/>
                <a:gd name="T14" fmla="*/ 2 w 6"/>
                <a:gd name="T15" fmla="*/ 3 h 9"/>
                <a:gd name="T16" fmla="*/ 2 w 6"/>
                <a:gd name="T17" fmla="*/ 1 h 9"/>
                <a:gd name="T18" fmla="*/ 2 w 6"/>
                <a:gd name="T19" fmla="*/ 0 h 9"/>
                <a:gd name="T20" fmla="*/ 0 w 6"/>
                <a:gd name="T21" fmla="*/ 0 h 9"/>
                <a:gd name="T22" fmla="*/ 1 w 6"/>
                <a:gd name="T23" fmla="*/ 1 h 9"/>
                <a:gd name="T24" fmla="*/ 1 w 6"/>
                <a:gd name="T25" fmla="*/ 3 h 9"/>
                <a:gd name="T26" fmla="*/ 2 w 6"/>
                <a:gd name="T27" fmla="*/ 6 h 9"/>
                <a:gd name="T28" fmla="*/ 2 w 6"/>
                <a:gd name="T29" fmla="*/ 6 h 9"/>
                <a:gd name="T30" fmla="*/ 2 w 6"/>
                <a:gd name="T31" fmla="*/ 7 h 9"/>
                <a:gd name="T32" fmla="*/ 3 w 6"/>
                <a:gd name="T33" fmla="*/ 9 h 9"/>
                <a:gd name="T34" fmla="*/ 4 w 6"/>
                <a:gd name="T35" fmla="*/ 9 h 9"/>
                <a:gd name="T36" fmla="*/ 6 w 6"/>
                <a:gd name="T37" fmla="*/ 9 h 9"/>
                <a:gd name="T38" fmla="*/ 6 w 6"/>
                <a:gd name="T39" fmla="*/ 9 h 9"/>
                <a:gd name="T40" fmla="*/ 6 w 6"/>
                <a:gd name="T41" fmla="*/ 7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6" y="7"/>
                  </a:moveTo>
                  <a:lnTo>
                    <a:pt x="6" y="7"/>
                  </a:lnTo>
                  <a:lnTo>
                    <a:pt x="5" y="7"/>
                  </a:lnTo>
                  <a:lnTo>
                    <a:pt x="4" y="7"/>
                  </a:lnTo>
                  <a:lnTo>
                    <a:pt x="3" y="6"/>
                  </a:lnTo>
                  <a:lnTo>
                    <a:pt x="2" y="4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1" y="1"/>
                  </a:lnTo>
                  <a:lnTo>
                    <a:pt x="1" y="3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6" y="9"/>
                  </a:lnTo>
                  <a:lnTo>
                    <a:pt x="6" y="7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5" name="Freeform 54"/>
            <xdr:cNvSpPr>
              <a:spLocks/>
            </xdr:cNvSpPr>
          </xdr:nvSpPr>
          <xdr:spPr bwMode="auto">
            <a:xfrm>
              <a:off x="608" y="242"/>
              <a:ext cx="5" cy="9"/>
            </a:xfrm>
            <a:custGeom>
              <a:avLst/>
              <a:gdLst>
                <a:gd name="T0" fmla="*/ 4 w 5"/>
                <a:gd name="T1" fmla="*/ 0 h 9"/>
                <a:gd name="T2" fmla="*/ 4 w 5"/>
                <a:gd name="T3" fmla="*/ 0 h 9"/>
                <a:gd name="T4" fmla="*/ 3 w 5"/>
                <a:gd name="T5" fmla="*/ 1 h 9"/>
                <a:gd name="T6" fmla="*/ 3 w 5"/>
                <a:gd name="T7" fmla="*/ 3 h 9"/>
                <a:gd name="T8" fmla="*/ 3 w 5"/>
                <a:gd name="T9" fmla="*/ 4 h 9"/>
                <a:gd name="T10" fmla="*/ 3 w 5"/>
                <a:gd name="T11" fmla="*/ 4 h 9"/>
                <a:gd name="T12" fmla="*/ 2 w 5"/>
                <a:gd name="T13" fmla="*/ 6 h 9"/>
                <a:gd name="T14" fmla="*/ 2 w 5"/>
                <a:gd name="T15" fmla="*/ 7 h 9"/>
                <a:gd name="T16" fmla="*/ 1 w 5"/>
                <a:gd name="T17" fmla="*/ 7 h 9"/>
                <a:gd name="T18" fmla="*/ 0 w 5"/>
                <a:gd name="T19" fmla="*/ 7 h 9"/>
                <a:gd name="T20" fmla="*/ 0 w 5"/>
                <a:gd name="T21" fmla="*/ 9 h 9"/>
                <a:gd name="T22" fmla="*/ 1 w 5"/>
                <a:gd name="T23" fmla="*/ 9 h 9"/>
                <a:gd name="T24" fmla="*/ 2 w 5"/>
                <a:gd name="T25" fmla="*/ 9 h 9"/>
                <a:gd name="T26" fmla="*/ 3 w 5"/>
                <a:gd name="T27" fmla="*/ 7 h 9"/>
                <a:gd name="T28" fmla="*/ 3 w 5"/>
                <a:gd name="T29" fmla="*/ 6 h 9"/>
                <a:gd name="T30" fmla="*/ 4 w 5"/>
                <a:gd name="T31" fmla="*/ 6 h 9"/>
                <a:gd name="T32" fmla="*/ 4 w 5"/>
                <a:gd name="T33" fmla="*/ 3 h 9"/>
                <a:gd name="T34" fmla="*/ 5 w 5"/>
                <a:gd name="T35" fmla="*/ 1 h 9"/>
                <a:gd name="T36" fmla="*/ 5 w 5"/>
                <a:gd name="T37" fmla="*/ 0 h 9"/>
                <a:gd name="T38" fmla="*/ 5 w 5"/>
                <a:gd name="T39" fmla="*/ 0 h 9"/>
                <a:gd name="T40" fmla="*/ 4 w 5"/>
                <a:gd name="T41" fmla="*/ 0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3" y="4"/>
                  </a:lnTo>
                  <a:lnTo>
                    <a:pt x="2" y="6"/>
                  </a:lnTo>
                  <a:lnTo>
                    <a:pt x="2" y="7"/>
                  </a:lnTo>
                  <a:lnTo>
                    <a:pt x="1" y="7"/>
                  </a:lnTo>
                  <a:lnTo>
                    <a:pt x="0" y="7"/>
                  </a:lnTo>
                  <a:lnTo>
                    <a:pt x="0" y="9"/>
                  </a:lnTo>
                  <a:lnTo>
                    <a:pt x="1" y="9"/>
                  </a:lnTo>
                  <a:lnTo>
                    <a:pt x="2" y="9"/>
                  </a:lnTo>
                  <a:lnTo>
                    <a:pt x="3" y="7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3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6" name="Freeform 55"/>
            <xdr:cNvSpPr>
              <a:spLocks/>
            </xdr:cNvSpPr>
          </xdr:nvSpPr>
          <xdr:spPr bwMode="auto">
            <a:xfrm>
              <a:off x="608" y="233"/>
              <a:ext cx="5" cy="9"/>
            </a:xfrm>
            <a:custGeom>
              <a:avLst/>
              <a:gdLst>
                <a:gd name="T0" fmla="*/ 0 w 5"/>
                <a:gd name="T1" fmla="*/ 2 h 9"/>
                <a:gd name="T2" fmla="*/ 0 w 5"/>
                <a:gd name="T3" fmla="*/ 2 h 9"/>
                <a:gd name="T4" fmla="*/ 1 w 5"/>
                <a:gd name="T5" fmla="*/ 2 h 9"/>
                <a:gd name="T6" fmla="*/ 2 w 5"/>
                <a:gd name="T7" fmla="*/ 2 h 9"/>
                <a:gd name="T8" fmla="*/ 2 w 5"/>
                <a:gd name="T9" fmla="*/ 3 h 9"/>
                <a:gd name="T10" fmla="*/ 3 w 5"/>
                <a:gd name="T11" fmla="*/ 3 h 9"/>
                <a:gd name="T12" fmla="*/ 3 w 5"/>
                <a:gd name="T13" fmla="*/ 5 h 9"/>
                <a:gd name="T14" fmla="*/ 3 w 5"/>
                <a:gd name="T15" fmla="*/ 6 h 9"/>
                <a:gd name="T16" fmla="*/ 3 w 5"/>
                <a:gd name="T17" fmla="*/ 7 h 9"/>
                <a:gd name="T18" fmla="*/ 4 w 5"/>
                <a:gd name="T19" fmla="*/ 9 h 9"/>
                <a:gd name="T20" fmla="*/ 5 w 5"/>
                <a:gd name="T21" fmla="*/ 9 h 9"/>
                <a:gd name="T22" fmla="*/ 5 w 5"/>
                <a:gd name="T23" fmla="*/ 7 h 9"/>
                <a:gd name="T24" fmla="*/ 4 w 5"/>
                <a:gd name="T25" fmla="*/ 5 h 9"/>
                <a:gd name="T26" fmla="*/ 4 w 5"/>
                <a:gd name="T27" fmla="*/ 3 h 9"/>
                <a:gd name="T28" fmla="*/ 3 w 5"/>
                <a:gd name="T29" fmla="*/ 2 h 9"/>
                <a:gd name="T30" fmla="*/ 3 w 5"/>
                <a:gd name="T31" fmla="*/ 2 h 9"/>
                <a:gd name="T32" fmla="*/ 2 w 5"/>
                <a:gd name="T33" fmla="*/ 0 h 9"/>
                <a:gd name="T34" fmla="*/ 1 w 5"/>
                <a:gd name="T35" fmla="*/ 0 h 9"/>
                <a:gd name="T36" fmla="*/ 0 w 5"/>
                <a:gd name="T37" fmla="*/ 0 h 9"/>
                <a:gd name="T38" fmla="*/ 0 w 5"/>
                <a:gd name="T39" fmla="*/ 0 h 9"/>
                <a:gd name="T40" fmla="*/ 0 w 5"/>
                <a:gd name="T41" fmla="*/ 2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0" y="2"/>
                  </a:moveTo>
                  <a:lnTo>
                    <a:pt x="0" y="2"/>
                  </a:lnTo>
                  <a:lnTo>
                    <a:pt x="1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3" y="3"/>
                  </a:lnTo>
                  <a:lnTo>
                    <a:pt x="3" y="5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  <xdr:twoCellAnchor>
    <xdr:from>
      <xdr:col>17</xdr:col>
      <xdr:colOff>295275</xdr:colOff>
      <xdr:row>0</xdr:row>
      <xdr:rowOff>19050</xdr:rowOff>
    </xdr:from>
    <xdr:to>
      <xdr:col>18</xdr:col>
      <xdr:colOff>520701</xdr:colOff>
      <xdr:row>4</xdr:row>
      <xdr:rowOff>82550</xdr:rowOff>
    </xdr:to>
    <xdr:sp macro="" textlink="">
      <xdr:nvSpPr>
        <xdr:cNvPr id="57" name="56 CuadroTexto"/>
        <xdr:cNvSpPr txBox="1"/>
      </xdr:nvSpPr>
      <xdr:spPr>
        <a:xfrm>
          <a:off x="10382250" y="19050"/>
          <a:ext cx="835026" cy="7493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200"/>
            <a:t>ORIGINAL</a:t>
          </a:r>
        </a:p>
        <a:p>
          <a:pPr algn="ctr"/>
          <a:endParaRPr lang="es-AR" sz="1200"/>
        </a:p>
        <a:p>
          <a:pPr algn="ctr"/>
          <a:endParaRPr lang="es-AR" sz="1200"/>
        </a:p>
        <a:p>
          <a:pPr algn="ctr"/>
          <a:r>
            <a:rPr lang="es-AR" sz="1200"/>
            <a:t>FOLIO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4</xdr:col>
      <xdr:colOff>477628</xdr:colOff>
      <xdr:row>4</xdr:row>
      <xdr:rowOff>147637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9525" y="57150"/>
          <a:ext cx="4563853" cy="776287"/>
          <a:chOff x="112" y="156"/>
          <a:chExt cx="519" cy="129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12" y="196"/>
            <a:ext cx="458" cy="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Av. Alvear N° 1448 - Esquel - Chubut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Tel/Fax (02945)451003 E-Mail: administracionpasquini@speedy.com.ar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C.U.I.T 30-67034174-3 L.C. N° 03117 I.B. 01091  I.E.R.I.C. N° 73589 4</a:t>
            </a:r>
          </a:p>
          <a:p>
            <a:pPr algn="l" rtl="1">
              <a:defRPr sz="1000"/>
            </a:pPr>
            <a:endParaRPr lang="es-AR" sz="1000" b="1" i="0" strike="noStrike">
              <a:solidFill>
                <a:srgbClr val="000000"/>
              </a:solidFill>
              <a:latin typeface="Swis721 Ex BT"/>
            </a:endParaRPr>
          </a:p>
        </xdr:txBody>
      </xdr:sp>
      <xdr:grpSp>
        <xdr:nvGrpSpPr>
          <xdr:cNvPr id="4" name="Group 7"/>
          <xdr:cNvGrpSpPr>
            <a:grpSpLocks/>
          </xdr:cNvGrpSpPr>
        </xdr:nvGrpSpPr>
        <xdr:grpSpPr bwMode="auto">
          <a:xfrm>
            <a:off x="116" y="156"/>
            <a:ext cx="515" cy="129"/>
            <a:chOff x="116" y="156"/>
            <a:chExt cx="515" cy="129"/>
          </a:xfrm>
        </xdr:grpSpPr>
        <xdr:sp macro="" textlink="">
          <xdr:nvSpPr>
            <xdr:cNvPr id="5" name="Freeform 8"/>
            <xdr:cNvSpPr>
              <a:spLocks noEditPoints="1"/>
            </xdr:cNvSpPr>
          </xdr:nvSpPr>
          <xdr:spPr bwMode="auto">
            <a:xfrm>
              <a:off x="11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9 w 21"/>
                <a:gd name="T5" fmla="*/ 24 h 25"/>
                <a:gd name="T6" fmla="*/ 10 w 21"/>
                <a:gd name="T7" fmla="*/ 25 h 25"/>
                <a:gd name="T8" fmla="*/ 0 w 21"/>
                <a:gd name="T9" fmla="*/ 24 h 25"/>
                <a:gd name="T10" fmla="*/ 1 w 21"/>
                <a:gd name="T11" fmla="*/ 24 h 25"/>
                <a:gd name="T12" fmla="*/ 3 w 21"/>
                <a:gd name="T13" fmla="*/ 24 h 25"/>
                <a:gd name="T14" fmla="*/ 3 w 21"/>
                <a:gd name="T15" fmla="*/ 21 h 25"/>
                <a:gd name="T16" fmla="*/ 8 w 21"/>
                <a:gd name="T17" fmla="*/ 3 h 25"/>
                <a:gd name="T18" fmla="*/ 7 w 21"/>
                <a:gd name="T19" fmla="*/ 2 h 25"/>
                <a:gd name="T20" fmla="*/ 6 w 21"/>
                <a:gd name="T21" fmla="*/ 0 h 25"/>
                <a:gd name="T22" fmla="*/ 15 w 21"/>
                <a:gd name="T23" fmla="*/ 0 h 25"/>
                <a:gd name="T24" fmla="*/ 16 w 21"/>
                <a:gd name="T25" fmla="*/ 0 h 25"/>
                <a:gd name="T26" fmla="*/ 18 w 21"/>
                <a:gd name="T27" fmla="*/ 2 h 25"/>
                <a:gd name="T28" fmla="*/ 19 w 21"/>
                <a:gd name="T29" fmla="*/ 3 h 25"/>
                <a:gd name="T30" fmla="*/ 20 w 21"/>
                <a:gd name="T31" fmla="*/ 5 h 25"/>
                <a:gd name="T32" fmla="*/ 21 w 21"/>
                <a:gd name="T33" fmla="*/ 6 h 25"/>
                <a:gd name="T34" fmla="*/ 21 w 21"/>
                <a:gd name="T35" fmla="*/ 9 h 25"/>
                <a:gd name="T36" fmla="*/ 20 w 21"/>
                <a:gd name="T37" fmla="*/ 11 h 25"/>
                <a:gd name="T38" fmla="*/ 19 w 21"/>
                <a:gd name="T39" fmla="*/ 12 h 25"/>
                <a:gd name="T40" fmla="*/ 17 w 21"/>
                <a:gd name="T41" fmla="*/ 13 h 25"/>
                <a:gd name="T42" fmla="*/ 15 w 21"/>
                <a:gd name="T43" fmla="*/ 13 h 25"/>
                <a:gd name="T44" fmla="*/ 14 w 21"/>
                <a:gd name="T45" fmla="*/ 13 h 25"/>
                <a:gd name="T46" fmla="*/ 12 w 21"/>
                <a:gd name="T47" fmla="*/ 13 h 25"/>
                <a:gd name="T48" fmla="*/ 10 w 21"/>
                <a:gd name="T49" fmla="*/ 13 h 25"/>
                <a:gd name="T50" fmla="*/ 10 w 21"/>
                <a:gd name="T51" fmla="*/ 13 h 25"/>
                <a:gd name="T52" fmla="*/ 12 w 21"/>
                <a:gd name="T53" fmla="*/ 13 h 25"/>
                <a:gd name="T54" fmla="*/ 14 w 21"/>
                <a:gd name="T55" fmla="*/ 12 h 25"/>
                <a:gd name="T56" fmla="*/ 15 w 21"/>
                <a:gd name="T57" fmla="*/ 11 h 25"/>
                <a:gd name="T58" fmla="*/ 16 w 21"/>
                <a:gd name="T59" fmla="*/ 8 h 25"/>
                <a:gd name="T60" fmla="*/ 16 w 21"/>
                <a:gd name="T61" fmla="*/ 5 h 25"/>
                <a:gd name="T62" fmla="*/ 15 w 21"/>
                <a:gd name="T63" fmla="*/ 2 h 25"/>
                <a:gd name="T64" fmla="*/ 14 w 21"/>
                <a:gd name="T65" fmla="*/ 2 h 25"/>
                <a:gd name="T66" fmla="*/ 10 w 21"/>
                <a:gd name="T67" fmla="*/ 13 h 25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1"/>
                <a:gd name="T103" fmla="*/ 0 h 25"/>
                <a:gd name="T104" fmla="*/ 21 w 21"/>
                <a:gd name="T105" fmla="*/ 25 h 25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1" h="25">
                  <a:moveTo>
                    <a:pt x="9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8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lnTo>
                    <a:pt x="9" y="13"/>
                  </a:lnTo>
                  <a:close/>
                  <a:moveTo>
                    <a:pt x="10" y="13"/>
                  </a:moveTo>
                  <a:lnTo>
                    <a:pt x="11" y="13"/>
                  </a:lnTo>
                  <a:lnTo>
                    <a:pt x="12" y="13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3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" name="Freeform 9"/>
            <xdr:cNvSpPr>
              <a:spLocks noEditPoints="1"/>
            </xdr:cNvSpPr>
          </xdr:nvSpPr>
          <xdr:spPr bwMode="auto">
            <a:xfrm>
              <a:off x="133" y="156"/>
              <a:ext cx="20" cy="25"/>
            </a:xfrm>
            <a:custGeom>
              <a:avLst/>
              <a:gdLst>
                <a:gd name="T0" fmla="*/ 14 w 20"/>
                <a:gd name="T1" fmla="*/ 16 h 25"/>
                <a:gd name="T2" fmla="*/ 7 w 20"/>
                <a:gd name="T3" fmla="*/ 16 h 25"/>
                <a:gd name="T4" fmla="*/ 6 w 20"/>
                <a:gd name="T5" fmla="*/ 19 h 25"/>
                <a:gd name="T6" fmla="*/ 4 w 20"/>
                <a:gd name="T7" fmla="*/ 21 h 25"/>
                <a:gd name="T8" fmla="*/ 3 w 20"/>
                <a:gd name="T9" fmla="*/ 22 h 25"/>
                <a:gd name="T10" fmla="*/ 3 w 20"/>
                <a:gd name="T11" fmla="*/ 24 h 25"/>
                <a:gd name="T12" fmla="*/ 4 w 20"/>
                <a:gd name="T13" fmla="*/ 24 h 25"/>
                <a:gd name="T14" fmla="*/ 5 w 20"/>
                <a:gd name="T15" fmla="*/ 24 h 25"/>
                <a:gd name="T16" fmla="*/ 5 w 20"/>
                <a:gd name="T17" fmla="*/ 25 h 25"/>
                <a:gd name="T18" fmla="*/ 0 w 20"/>
                <a:gd name="T19" fmla="*/ 25 h 25"/>
                <a:gd name="T20" fmla="*/ 0 w 20"/>
                <a:gd name="T21" fmla="*/ 24 h 25"/>
                <a:gd name="T22" fmla="*/ 0 w 20"/>
                <a:gd name="T23" fmla="*/ 24 h 25"/>
                <a:gd name="T24" fmla="*/ 1 w 20"/>
                <a:gd name="T25" fmla="*/ 24 h 25"/>
                <a:gd name="T26" fmla="*/ 2 w 20"/>
                <a:gd name="T27" fmla="*/ 22 h 25"/>
                <a:gd name="T28" fmla="*/ 3 w 20"/>
                <a:gd name="T29" fmla="*/ 21 h 25"/>
                <a:gd name="T30" fmla="*/ 17 w 20"/>
                <a:gd name="T31" fmla="*/ 0 h 25"/>
                <a:gd name="T32" fmla="*/ 18 w 20"/>
                <a:gd name="T33" fmla="*/ 0 h 25"/>
                <a:gd name="T34" fmla="*/ 18 w 20"/>
                <a:gd name="T35" fmla="*/ 19 h 25"/>
                <a:gd name="T36" fmla="*/ 18 w 20"/>
                <a:gd name="T37" fmla="*/ 21 h 25"/>
                <a:gd name="T38" fmla="*/ 18 w 20"/>
                <a:gd name="T39" fmla="*/ 22 h 25"/>
                <a:gd name="T40" fmla="*/ 18 w 20"/>
                <a:gd name="T41" fmla="*/ 24 h 25"/>
                <a:gd name="T42" fmla="*/ 19 w 20"/>
                <a:gd name="T43" fmla="*/ 24 h 25"/>
                <a:gd name="T44" fmla="*/ 20 w 20"/>
                <a:gd name="T45" fmla="*/ 24 h 25"/>
                <a:gd name="T46" fmla="*/ 20 w 20"/>
                <a:gd name="T47" fmla="*/ 25 h 25"/>
                <a:gd name="T48" fmla="*/ 11 w 20"/>
                <a:gd name="T49" fmla="*/ 25 h 25"/>
                <a:gd name="T50" fmla="*/ 11 w 20"/>
                <a:gd name="T51" fmla="*/ 24 h 25"/>
                <a:gd name="T52" fmla="*/ 12 w 20"/>
                <a:gd name="T53" fmla="*/ 24 h 25"/>
                <a:gd name="T54" fmla="*/ 13 w 20"/>
                <a:gd name="T55" fmla="*/ 24 h 25"/>
                <a:gd name="T56" fmla="*/ 14 w 20"/>
                <a:gd name="T57" fmla="*/ 24 h 25"/>
                <a:gd name="T58" fmla="*/ 14 w 20"/>
                <a:gd name="T59" fmla="*/ 22 h 25"/>
                <a:gd name="T60" fmla="*/ 14 w 20"/>
                <a:gd name="T61" fmla="*/ 21 h 25"/>
                <a:gd name="T62" fmla="*/ 14 w 20"/>
                <a:gd name="T63" fmla="*/ 16 h 25"/>
                <a:gd name="T64" fmla="*/ 14 w 20"/>
                <a:gd name="T65" fmla="*/ 16 h 25"/>
                <a:gd name="T66" fmla="*/ 14 w 20"/>
                <a:gd name="T67" fmla="*/ 8 h 25"/>
                <a:gd name="T68" fmla="*/ 7 w 20"/>
                <a:gd name="T69" fmla="*/ 16 h 25"/>
                <a:gd name="T70" fmla="*/ 14 w 20"/>
                <a:gd name="T71" fmla="*/ 16 h 25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0"/>
                <a:gd name="T109" fmla="*/ 0 h 25"/>
                <a:gd name="T110" fmla="*/ 20 w 20"/>
                <a:gd name="T111" fmla="*/ 25 h 25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0" h="25">
                  <a:moveTo>
                    <a:pt x="14" y="16"/>
                  </a:moveTo>
                  <a:lnTo>
                    <a:pt x="7" y="16"/>
                  </a:lnTo>
                  <a:lnTo>
                    <a:pt x="6" y="19"/>
                  </a:lnTo>
                  <a:lnTo>
                    <a:pt x="4" y="21"/>
                  </a:lnTo>
                  <a:lnTo>
                    <a:pt x="3" y="22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5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2"/>
                  </a:lnTo>
                  <a:lnTo>
                    <a:pt x="3" y="21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8" y="19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0" y="25"/>
                  </a:lnTo>
                  <a:lnTo>
                    <a:pt x="11" y="25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4" y="22"/>
                  </a:lnTo>
                  <a:lnTo>
                    <a:pt x="14" y="21"/>
                  </a:lnTo>
                  <a:lnTo>
                    <a:pt x="14" y="16"/>
                  </a:lnTo>
                  <a:close/>
                  <a:moveTo>
                    <a:pt x="14" y="16"/>
                  </a:moveTo>
                  <a:lnTo>
                    <a:pt x="14" y="8"/>
                  </a:lnTo>
                  <a:lnTo>
                    <a:pt x="7" y="16"/>
                  </a:lnTo>
                  <a:lnTo>
                    <a:pt x="14" y="16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" name="Freeform 10"/>
            <xdr:cNvSpPr>
              <a:spLocks/>
            </xdr:cNvSpPr>
          </xdr:nvSpPr>
          <xdr:spPr bwMode="auto">
            <a:xfrm>
              <a:off x="154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" name="Freeform 11"/>
            <xdr:cNvSpPr>
              <a:spLocks noEditPoints="1"/>
            </xdr:cNvSpPr>
          </xdr:nvSpPr>
          <xdr:spPr bwMode="auto">
            <a:xfrm>
              <a:off x="174" y="156"/>
              <a:ext cx="20" cy="32"/>
            </a:xfrm>
            <a:custGeom>
              <a:avLst/>
              <a:gdLst>
                <a:gd name="T0" fmla="*/ 5 w 20"/>
                <a:gd name="T1" fmla="*/ 27 h 32"/>
                <a:gd name="T2" fmla="*/ 8 w 20"/>
                <a:gd name="T3" fmla="*/ 27 h 32"/>
                <a:gd name="T4" fmla="*/ 10 w 20"/>
                <a:gd name="T5" fmla="*/ 27 h 32"/>
                <a:gd name="T6" fmla="*/ 12 w 20"/>
                <a:gd name="T7" fmla="*/ 29 h 32"/>
                <a:gd name="T8" fmla="*/ 15 w 20"/>
                <a:gd name="T9" fmla="*/ 29 h 32"/>
                <a:gd name="T10" fmla="*/ 17 w 20"/>
                <a:gd name="T11" fmla="*/ 28 h 32"/>
                <a:gd name="T12" fmla="*/ 19 w 20"/>
                <a:gd name="T13" fmla="*/ 27 h 32"/>
                <a:gd name="T14" fmla="*/ 18 w 20"/>
                <a:gd name="T15" fmla="*/ 29 h 32"/>
                <a:gd name="T16" fmla="*/ 16 w 20"/>
                <a:gd name="T17" fmla="*/ 31 h 32"/>
                <a:gd name="T18" fmla="*/ 14 w 20"/>
                <a:gd name="T19" fmla="*/ 32 h 32"/>
                <a:gd name="T20" fmla="*/ 11 w 20"/>
                <a:gd name="T21" fmla="*/ 32 h 32"/>
                <a:gd name="T22" fmla="*/ 8 w 20"/>
                <a:gd name="T23" fmla="*/ 32 h 32"/>
                <a:gd name="T24" fmla="*/ 7 w 20"/>
                <a:gd name="T25" fmla="*/ 31 h 32"/>
                <a:gd name="T26" fmla="*/ 5 w 20"/>
                <a:gd name="T27" fmla="*/ 29 h 32"/>
                <a:gd name="T28" fmla="*/ 2 w 20"/>
                <a:gd name="T29" fmla="*/ 29 h 32"/>
                <a:gd name="T30" fmla="*/ 0 w 20"/>
                <a:gd name="T31" fmla="*/ 29 h 32"/>
                <a:gd name="T32" fmla="*/ 4 w 20"/>
                <a:gd name="T33" fmla="*/ 24 h 32"/>
                <a:gd name="T34" fmla="*/ 1 w 20"/>
                <a:gd name="T35" fmla="*/ 24 h 32"/>
                <a:gd name="T36" fmla="*/ 1 w 20"/>
                <a:gd name="T37" fmla="*/ 21 h 32"/>
                <a:gd name="T38" fmla="*/ 0 w 20"/>
                <a:gd name="T39" fmla="*/ 16 h 32"/>
                <a:gd name="T40" fmla="*/ 1 w 20"/>
                <a:gd name="T41" fmla="*/ 12 h 32"/>
                <a:gd name="T42" fmla="*/ 2 w 20"/>
                <a:gd name="T43" fmla="*/ 8 h 32"/>
                <a:gd name="T44" fmla="*/ 4 w 20"/>
                <a:gd name="T45" fmla="*/ 5 h 32"/>
                <a:gd name="T46" fmla="*/ 7 w 20"/>
                <a:gd name="T47" fmla="*/ 2 h 32"/>
                <a:gd name="T48" fmla="*/ 9 w 20"/>
                <a:gd name="T49" fmla="*/ 0 h 32"/>
                <a:gd name="T50" fmla="*/ 12 w 20"/>
                <a:gd name="T51" fmla="*/ 0 h 32"/>
                <a:gd name="T52" fmla="*/ 15 w 20"/>
                <a:gd name="T53" fmla="*/ 0 h 32"/>
                <a:gd name="T54" fmla="*/ 17 w 20"/>
                <a:gd name="T55" fmla="*/ 2 h 32"/>
                <a:gd name="T56" fmla="*/ 19 w 20"/>
                <a:gd name="T57" fmla="*/ 5 h 32"/>
                <a:gd name="T58" fmla="*/ 20 w 20"/>
                <a:gd name="T59" fmla="*/ 8 h 32"/>
                <a:gd name="T60" fmla="*/ 19 w 20"/>
                <a:gd name="T61" fmla="*/ 11 h 32"/>
                <a:gd name="T62" fmla="*/ 18 w 20"/>
                <a:gd name="T63" fmla="*/ 13 h 32"/>
                <a:gd name="T64" fmla="*/ 16 w 20"/>
                <a:gd name="T65" fmla="*/ 18 h 32"/>
                <a:gd name="T66" fmla="*/ 15 w 20"/>
                <a:gd name="T67" fmla="*/ 21 h 32"/>
                <a:gd name="T68" fmla="*/ 14 w 20"/>
                <a:gd name="T69" fmla="*/ 22 h 32"/>
                <a:gd name="T70" fmla="*/ 11 w 20"/>
                <a:gd name="T71" fmla="*/ 24 h 32"/>
                <a:gd name="T72" fmla="*/ 9 w 20"/>
                <a:gd name="T73" fmla="*/ 25 h 32"/>
                <a:gd name="T74" fmla="*/ 7 w 20"/>
                <a:gd name="T75" fmla="*/ 25 h 32"/>
                <a:gd name="T76" fmla="*/ 12 w 20"/>
                <a:gd name="T77" fmla="*/ 0 h 32"/>
                <a:gd name="T78" fmla="*/ 9 w 20"/>
                <a:gd name="T79" fmla="*/ 2 h 32"/>
                <a:gd name="T80" fmla="*/ 8 w 20"/>
                <a:gd name="T81" fmla="*/ 6 h 32"/>
                <a:gd name="T82" fmla="*/ 6 w 20"/>
                <a:gd name="T83" fmla="*/ 8 h 32"/>
                <a:gd name="T84" fmla="*/ 5 w 20"/>
                <a:gd name="T85" fmla="*/ 12 h 32"/>
                <a:gd name="T86" fmla="*/ 4 w 20"/>
                <a:gd name="T87" fmla="*/ 15 h 32"/>
                <a:gd name="T88" fmla="*/ 4 w 20"/>
                <a:gd name="T89" fmla="*/ 19 h 32"/>
                <a:gd name="T90" fmla="*/ 5 w 20"/>
                <a:gd name="T91" fmla="*/ 24 h 32"/>
                <a:gd name="T92" fmla="*/ 8 w 20"/>
                <a:gd name="T93" fmla="*/ 24 h 32"/>
                <a:gd name="T94" fmla="*/ 10 w 20"/>
                <a:gd name="T95" fmla="*/ 24 h 32"/>
                <a:gd name="T96" fmla="*/ 12 w 20"/>
                <a:gd name="T97" fmla="*/ 21 h 32"/>
                <a:gd name="T98" fmla="*/ 13 w 20"/>
                <a:gd name="T99" fmla="*/ 16 h 32"/>
                <a:gd name="T100" fmla="*/ 15 w 20"/>
                <a:gd name="T101" fmla="*/ 13 h 32"/>
                <a:gd name="T102" fmla="*/ 15 w 20"/>
                <a:gd name="T103" fmla="*/ 9 h 32"/>
                <a:gd name="T104" fmla="*/ 15 w 20"/>
                <a:gd name="T105" fmla="*/ 5 h 32"/>
                <a:gd name="T106" fmla="*/ 15 w 20"/>
                <a:gd name="T107" fmla="*/ 0 h 32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20"/>
                <a:gd name="T163" fmla="*/ 0 h 32"/>
                <a:gd name="T164" fmla="*/ 20 w 20"/>
                <a:gd name="T165" fmla="*/ 32 h 32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20" h="32">
                  <a:moveTo>
                    <a:pt x="6" y="25"/>
                  </a:moveTo>
                  <a:lnTo>
                    <a:pt x="4" y="27"/>
                  </a:lnTo>
                  <a:lnTo>
                    <a:pt x="5" y="27"/>
                  </a:lnTo>
                  <a:lnTo>
                    <a:pt x="6" y="27"/>
                  </a:lnTo>
                  <a:lnTo>
                    <a:pt x="7" y="27"/>
                  </a:lnTo>
                  <a:lnTo>
                    <a:pt x="8" y="27"/>
                  </a:lnTo>
                  <a:lnTo>
                    <a:pt x="9" y="27"/>
                  </a:lnTo>
                  <a:lnTo>
                    <a:pt x="10" y="27"/>
                  </a:lnTo>
                  <a:lnTo>
                    <a:pt x="10" y="28"/>
                  </a:lnTo>
                  <a:lnTo>
                    <a:pt x="11" y="28"/>
                  </a:lnTo>
                  <a:lnTo>
                    <a:pt x="12" y="29"/>
                  </a:lnTo>
                  <a:lnTo>
                    <a:pt x="13" y="29"/>
                  </a:lnTo>
                  <a:lnTo>
                    <a:pt x="14" y="29"/>
                  </a:lnTo>
                  <a:lnTo>
                    <a:pt x="15" y="29"/>
                  </a:lnTo>
                  <a:lnTo>
                    <a:pt x="16" y="29"/>
                  </a:lnTo>
                  <a:lnTo>
                    <a:pt x="17" y="28"/>
                  </a:lnTo>
                  <a:lnTo>
                    <a:pt x="18" y="28"/>
                  </a:lnTo>
                  <a:lnTo>
                    <a:pt x="18" y="27"/>
                  </a:lnTo>
                  <a:lnTo>
                    <a:pt x="19" y="27"/>
                  </a:lnTo>
                  <a:lnTo>
                    <a:pt x="19" y="28"/>
                  </a:lnTo>
                  <a:lnTo>
                    <a:pt x="18" y="28"/>
                  </a:lnTo>
                  <a:lnTo>
                    <a:pt x="18" y="29"/>
                  </a:lnTo>
                  <a:lnTo>
                    <a:pt x="17" y="29"/>
                  </a:lnTo>
                  <a:lnTo>
                    <a:pt x="16" y="29"/>
                  </a:lnTo>
                  <a:lnTo>
                    <a:pt x="16" y="31"/>
                  </a:lnTo>
                  <a:lnTo>
                    <a:pt x="15" y="31"/>
                  </a:lnTo>
                  <a:lnTo>
                    <a:pt x="15" y="32"/>
                  </a:lnTo>
                  <a:lnTo>
                    <a:pt x="14" y="32"/>
                  </a:lnTo>
                  <a:lnTo>
                    <a:pt x="13" y="32"/>
                  </a:lnTo>
                  <a:lnTo>
                    <a:pt x="12" y="32"/>
                  </a:lnTo>
                  <a:lnTo>
                    <a:pt x="11" y="32"/>
                  </a:lnTo>
                  <a:lnTo>
                    <a:pt x="10" y="32"/>
                  </a:lnTo>
                  <a:lnTo>
                    <a:pt x="9" y="32"/>
                  </a:lnTo>
                  <a:lnTo>
                    <a:pt x="8" y="32"/>
                  </a:lnTo>
                  <a:lnTo>
                    <a:pt x="7" y="32"/>
                  </a:lnTo>
                  <a:lnTo>
                    <a:pt x="7" y="31"/>
                  </a:lnTo>
                  <a:lnTo>
                    <a:pt x="6" y="31"/>
                  </a:lnTo>
                  <a:lnTo>
                    <a:pt x="5" y="31"/>
                  </a:lnTo>
                  <a:lnTo>
                    <a:pt x="5" y="29"/>
                  </a:lnTo>
                  <a:lnTo>
                    <a:pt x="4" y="29"/>
                  </a:lnTo>
                  <a:lnTo>
                    <a:pt x="3" y="29"/>
                  </a:lnTo>
                  <a:lnTo>
                    <a:pt x="2" y="29"/>
                  </a:lnTo>
                  <a:lnTo>
                    <a:pt x="1" y="29"/>
                  </a:lnTo>
                  <a:lnTo>
                    <a:pt x="1" y="31"/>
                  </a:lnTo>
                  <a:lnTo>
                    <a:pt x="0" y="29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7" y="16"/>
                  </a:lnTo>
                  <a:lnTo>
                    <a:pt x="16" y="18"/>
                  </a:lnTo>
                  <a:lnTo>
                    <a:pt x="16" y="19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2"/>
                  </a:lnTo>
                  <a:lnTo>
                    <a:pt x="12" y="22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9"/>
                  </a:lnTo>
                  <a:lnTo>
                    <a:pt x="15" y="8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9" name="Freeform 12"/>
            <xdr:cNvSpPr>
              <a:spLocks/>
            </xdr:cNvSpPr>
          </xdr:nvSpPr>
          <xdr:spPr bwMode="auto">
            <a:xfrm>
              <a:off x="196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1 w 22"/>
                <a:gd name="T3" fmla="*/ 2 h 25"/>
                <a:gd name="T4" fmla="*/ 20 w 22"/>
                <a:gd name="T5" fmla="*/ 5 h 25"/>
                <a:gd name="T6" fmla="*/ 19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3 w 22"/>
                <a:gd name="T13" fmla="*/ 24 h 25"/>
                <a:gd name="T14" fmla="*/ 11 w 22"/>
                <a:gd name="T15" fmla="*/ 24 h 25"/>
                <a:gd name="T16" fmla="*/ 9 w 22"/>
                <a:gd name="T17" fmla="*/ 25 h 25"/>
                <a:gd name="T18" fmla="*/ 7 w 22"/>
                <a:gd name="T19" fmla="*/ 25 h 25"/>
                <a:gd name="T20" fmla="*/ 6 w 22"/>
                <a:gd name="T21" fmla="*/ 25 h 25"/>
                <a:gd name="T22" fmla="*/ 4 w 22"/>
                <a:gd name="T23" fmla="*/ 24 h 25"/>
                <a:gd name="T24" fmla="*/ 2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4 w 22"/>
                <a:gd name="T33" fmla="*/ 5 h 25"/>
                <a:gd name="T34" fmla="*/ 3 w 22"/>
                <a:gd name="T35" fmla="*/ 2 h 25"/>
                <a:gd name="T36" fmla="*/ 1 w 22"/>
                <a:gd name="T37" fmla="*/ 2 h 25"/>
                <a:gd name="T38" fmla="*/ 12 w 22"/>
                <a:gd name="T39" fmla="*/ 0 h 25"/>
                <a:gd name="T40" fmla="*/ 11 w 22"/>
                <a:gd name="T41" fmla="*/ 2 h 25"/>
                <a:gd name="T42" fmla="*/ 9 w 22"/>
                <a:gd name="T43" fmla="*/ 3 h 25"/>
                <a:gd name="T44" fmla="*/ 8 w 22"/>
                <a:gd name="T45" fmla="*/ 5 h 25"/>
                <a:gd name="T46" fmla="*/ 6 w 22"/>
                <a:gd name="T47" fmla="*/ 16 h 25"/>
                <a:gd name="T48" fmla="*/ 5 w 22"/>
                <a:gd name="T49" fmla="*/ 18 h 25"/>
                <a:gd name="T50" fmla="*/ 5 w 22"/>
                <a:gd name="T51" fmla="*/ 21 h 25"/>
                <a:gd name="T52" fmla="*/ 7 w 22"/>
                <a:gd name="T53" fmla="*/ 24 h 25"/>
                <a:gd name="T54" fmla="*/ 8 w 22"/>
                <a:gd name="T55" fmla="*/ 24 h 25"/>
                <a:gd name="T56" fmla="*/ 10 w 22"/>
                <a:gd name="T57" fmla="*/ 24 h 25"/>
                <a:gd name="T58" fmla="*/ 11 w 22"/>
                <a:gd name="T59" fmla="*/ 22 h 25"/>
                <a:gd name="T60" fmla="*/ 13 w 22"/>
                <a:gd name="T61" fmla="*/ 21 h 25"/>
                <a:gd name="T62" fmla="*/ 14 w 22"/>
                <a:gd name="T63" fmla="*/ 19 h 25"/>
                <a:gd name="T64" fmla="*/ 14 w 22"/>
                <a:gd name="T65" fmla="*/ 18 h 25"/>
                <a:gd name="T66" fmla="*/ 18 w 22"/>
                <a:gd name="T67" fmla="*/ 6 h 25"/>
                <a:gd name="T68" fmla="*/ 18 w 22"/>
                <a:gd name="T69" fmla="*/ 3 h 25"/>
                <a:gd name="T70" fmla="*/ 16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19" y="5"/>
                  </a:lnTo>
                  <a:lnTo>
                    <a:pt x="19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2" y="0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6" y="16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2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8" y="6"/>
                  </a:lnTo>
                  <a:lnTo>
                    <a:pt x="18" y="5"/>
                  </a:lnTo>
                  <a:lnTo>
                    <a:pt x="18" y="3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0" name="Freeform 13"/>
            <xdr:cNvSpPr>
              <a:spLocks/>
            </xdr:cNvSpPr>
          </xdr:nvSpPr>
          <xdr:spPr bwMode="auto">
            <a:xfrm>
              <a:off x="215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9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2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1" name="Freeform 14"/>
            <xdr:cNvSpPr>
              <a:spLocks/>
            </xdr:cNvSpPr>
          </xdr:nvSpPr>
          <xdr:spPr bwMode="auto">
            <a:xfrm>
              <a:off x="227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2 w 26"/>
                <a:gd name="T7" fmla="*/ 5 h 25"/>
                <a:gd name="T8" fmla="*/ 22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5 w 26"/>
                <a:gd name="T25" fmla="*/ 2 h 25"/>
                <a:gd name="T26" fmla="*/ 24 w 26"/>
                <a:gd name="T27" fmla="*/ 3 h 25"/>
                <a:gd name="T28" fmla="*/ 23 w 26"/>
                <a:gd name="T29" fmla="*/ 3 h 25"/>
                <a:gd name="T30" fmla="*/ 23 w 26"/>
                <a:gd name="T31" fmla="*/ 5 h 25"/>
                <a:gd name="T32" fmla="*/ 23 w 26"/>
                <a:gd name="T33" fmla="*/ 6 h 25"/>
                <a:gd name="T34" fmla="*/ 18 w 26"/>
                <a:gd name="T35" fmla="*/ 25 h 25"/>
                <a:gd name="T36" fmla="*/ 17 w 26"/>
                <a:gd name="T37" fmla="*/ 25 h 25"/>
                <a:gd name="T38" fmla="*/ 9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1 w 26"/>
                <a:gd name="T59" fmla="*/ 24 h 25"/>
                <a:gd name="T60" fmla="*/ 2 w 26"/>
                <a:gd name="T61" fmla="*/ 24 h 25"/>
                <a:gd name="T62" fmla="*/ 3 w 26"/>
                <a:gd name="T63" fmla="*/ 24 h 25"/>
                <a:gd name="T64" fmla="*/ 4 w 26"/>
                <a:gd name="T65" fmla="*/ 22 h 25"/>
                <a:gd name="T66" fmla="*/ 4 w 26"/>
                <a:gd name="T67" fmla="*/ 21 h 25"/>
                <a:gd name="T68" fmla="*/ 8 w 26"/>
                <a:gd name="T69" fmla="*/ 3 h 25"/>
                <a:gd name="T70" fmla="*/ 8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2" name="Freeform 15"/>
            <xdr:cNvSpPr>
              <a:spLocks/>
            </xdr:cNvSpPr>
          </xdr:nvSpPr>
          <xdr:spPr bwMode="auto">
            <a:xfrm>
              <a:off x="249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3" name="Freeform 16"/>
            <xdr:cNvSpPr>
              <a:spLocks/>
            </xdr:cNvSpPr>
          </xdr:nvSpPr>
          <xdr:spPr bwMode="auto">
            <a:xfrm>
              <a:off x="271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6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9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6 w 20"/>
                <a:gd name="T45" fmla="*/ 19 h 25"/>
                <a:gd name="T46" fmla="*/ 16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9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2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2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6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6" y="19"/>
                  </a:lnTo>
                  <a:lnTo>
                    <a:pt x="16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2" y="21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4" name="Freeform 17"/>
            <xdr:cNvSpPr>
              <a:spLocks noEditPoints="1"/>
            </xdr:cNvSpPr>
          </xdr:nvSpPr>
          <xdr:spPr bwMode="auto">
            <a:xfrm>
              <a:off x="291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4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2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8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19 w 20"/>
                <a:gd name="T47" fmla="*/ 13 h 25"/>
                <a:gd name="T48" fmla="*/ 18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2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2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4 w 20"/>
                <a:gd name="T81" fmla="*/ 16 h 25"/>
                <a:gd name="T82" fmla="*/ 4 w 20"/>
                <a:gd name="T83" fmla="*/ 19 h 25"/>
                <a:gd name="T84" fmla="*/ 4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1 w 20"/>
                <a:gd name="T93" fmla="*/ 22 h 25"/>
                <a:gd name="T94" fmla="*/ 12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5" name="Freeform 18"/>
            <xdr:cNvSpPr>
              <a:spLocks/>
            </xdr:cNvSpPr>
          </xdr:nvSpPr>
          <xdr:spPr bwMode="auto">
            <a:xfrm>
              <a:off x="310" y="156"/>
              <a:ext cx="27" cy="25"/>
            </a:xfrm>
            <a:custGeom>
              <a:avLst/>
              <a:gdLst>
                <a:gd name="T0" fmla="*/ 12 w 27"/>
                <a:gd name="T1" fmla="*/ 0 h 25"/>
                <a:gd name="T2" fmla="*/ 19 w 27"/>
                <a:gd name="T3" fmla="*/ 16 h 25"/>
                <a:gd name="T4" fmla="*/ 21 w 27"/>
                <a:gd name="T5" fmla="*/ 6 h 25"/>
                <a:gd name="T6" fmla="*/ 22 w 27"/>
                <a:gd name="T7" fmla="*/ 5 h 25"/>
                <a:gd name="T8" fmla="*/ 22 w 27"/>
                <a:gd name="T9" fmla="*/ 3 h 25"/>
                <a:gd name="T10" fmla="*/ 21 w 27"/>
                <a:gd name="T11" fmla="*/ 3 h 25"/>
                <a:gd name="T12" fmla="*/ 21 w 27"/>
                <a:gd name="T13" fmla="*/ 2 h 25"/>
                <a:gd name="T14" fmla="*/ 20 w 27"/>
                <a:gd name="T15" fmla="*/ 2 h 25"/>
                <a:gd name="T16" fmla="*/ 20 w 27"/>
                <a:gd name="T17" fmla="*/ 2 h 25"/>
                <a:gd name="T18" fmla="*/ 20 w 27"/>
                <a:gd name="T19" fmla="*/ 0 h 25"/>
                <a:gd name="T20" fmla="*/ 27 w 27"/>
                <a:gd name="T21" fmla="*/ 0 h 25"/>
                <a:gd name="T22" fmla="*/ 26 w 27"/>
                <a:gd name="T23" fmla="*/ 2 h 25"/>
                <a:gd name="T24" fmla="*/ 25 w 27"/>
                <a:gd name="T25" fmla="*/ 2 h 25"/>
                <a:gd name="T26" fmla="*/ 24 w 27"/>
                <a:gd name="T27" fmla="*/ 3 h 25"/>
                <a:gd name="T28" fmla="*/ 23 w 27"/>
                <a:gd name="T29" fmla="*/ 3 h 25"/>
                <a:gd name="T30" fmla="*/ 23 w 27"/>
                <a:gd name="T31" fmla="*/ 5 h 25"/>
                <a:gd name="T32" fmla="*/ 23 w 27"/>
                <a:gd name="T33" fmla="*/ 6 h 25"/>
                <a:gd name="T34" fmla="*/ 18 w 27"/>
                <a:gd name="T35" fmla="*/ 25 h 25"/>
                <a:gd name="T36" fmla="*/ 17 w 27"/>
                <a:gd name="T37" fmla="*/ 25 h 25"/>
                <a:gd name="T38" fmla="*/ 9 w 27"/>
                <a:gd name="T39" fmla="*/ 5 h 25"/>
                <a:gd name="T40" fmla="*/ 5 w 27"/>
                <a:gd name="T41" fmla="*/ 21 h 25"/>
                <a:gd name="T42" fmla="*/ 5 w 27"/>
                <a:gd name="T43" fmla="*/ 22 h 25"/>
                <a:gd name="T44" fmla="*/ 5 w 27"/>
                <a:gd name="T45" fmla="*/ 24 h 25"/>
                <a:gd name="T46" fmla="*/ 6 w 27"/>
                <a:gd name="T47" fmla="*/ 24 h 25"/>
                <a:gd name="T48" fmla="*/ 6 w 27"/>
                <a:gd name="T49" fmla="*/ 24 h 25"/>
                <a:gd name="T50" fmla="*/ 7 w 27"/>
                <a:gd name="T51" fmla="*/ 24 h 25"/>
                <a:gd name="T52" fmla="*/ 6 w 27"/>
                <a:gd name="T53" fmla="*/ 25 h 25"/>
                <a:gd name="T54" fmla="*/ 0 w 27"/>
                <a:gd name="T55" fmla="*/ 25 h 25"/>
                <a:gd name="T56" fmla="*/ 0 w 27"/>
                <a:gd name="T57" fmla="*/ 24 h 25"/>
                <a:gd name="T58" fmla="*/ 1 w 27"/>
                <a:gd name="T59" fmla="*/ 24 h 25"/>
                <a:gd name="T60" fmla="*/ 2 w 27"/>
                <a:gd name="T61" fmla="*/ 24 h 25"/>
                <a:gd name="T62" fmla="*/ 3 w 27"/>
                <a:gd name="T63" fmla="*/ 24 h 25"/>
                <a:gd name="T64" fmla="*/ 4 w 27"/>
                <a:gd name="T65" fmla="*/ 22 h 25"/>
                <a:gd name="T66" fmla="*/ 4 w 27"/>
                <a:gd name="T67" fmla="*/ 21 h 25"/>
                <a:gd name="T68" fmla="*/ 8 w 27"/>
                <a:gd name="T69" fmla="*/ 3 h 25"/>
                <a:gd name="T70" fmla="*/ 8 w 27"/>
                <a:gd name="T71" fmla="*/ 2 h 25"/>
                <a:gd name="T72" fmla="*/ 7 w 27"/>
                <a:gd name="T73" fmla="*/ 2 h 25"/>
                <a:gd name="T74" fmla="*/ 6 w 27"/>
                <a:gd name="T75" fmla="*/ 2 h 25"/>
                <a:gd name="T76" fmla="*/ 6 w 27"/>
                <a:gd name="T77" fmla="*/ 2 h 25"/>
                <a:gd name="T78" fmla="*/ 6 w 27"/>
                <a:gd name="T79" fmla="*/ 0 h 25"/>
                <a:gd name="T80" fmla="*/ 12 w 27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7"/>
                <a:gd name="T124" fmla="*/ 0 h 25"/>
                <a:gd name="T125" fmla="*/ 27 w 27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7" h="25">
                  <a:moveTo>
                    <a:pt x="12" y="0"/>
                  </a:moveTo>
                  <a:lnTo>
                    <a:pt x="19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20" y="0"/>
                  </a:lnTo>
                  <a:lnTo>
                    <a:pt x="27" y="0"/>
                  </a:lnTo>
                  <a:lnTo>
                    <a:pt x="26" y="2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6" name="Freeform 19"/>
            <xdr:cNvSpPr>
              <a:spLocks/>
            </xdr:cNvSpPr>
          </xdr:nvSpPr>
          <xdr:spPr bwMode="auto">
            <a:xfrm>
              <a:off x="332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3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3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3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6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5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5 w 19"/>
                <a:gd name="T77" fmla="*/ 9 h 25"/>
                <a:gd name="T78" fmla="*/ 5 w 19"/>
                <a:gd name="T79" fmla="*/ 6 h 25"/>
                <a:gd name="T80" fmla="*/ 6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2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7" name="Freeform 20"/>
            <xdr:cNvSpPr>
              <a:spLocks/>
            </xdr:cNvSpPr>
          </xdr:nvSpPr>
          <xdr:spPr bwMode="auto">
            <a:xfrm>
              <a:off x="352" y="156"/>
              <a:ext cx="20" cy="25"/>
            </a:xfrm>
            <a:custGeom>
              <a:avLst/>
              <a:gdLst>
                <a:gd name="T0" fmla="*/ 4 w 20"/>
                <a:gd name="T1" fmla="*/ 0 h 25"/>
                <a:gd name="T2" fmla="*/ 20 w 20"/>
                <a:gd name="T3" fmla="*/ 0 h 25"/>
                <a:gd name="T4" fmla="*/ 18 w 20"/>
                <a:gd name="T5" fmla="*/ 8 h 25"/>
                <a:gd name="T6" fmla="*/ 17 w 20"/>
                <a:gd name="T7" fmla="*/ 8 h 25"/>
                <a:gd name="T8" fmla="*/ 17 w 20"/>
                <a:gd name="T9" fmla="*/ 6 h 25"/>
                <a:gd name="T10" fmla="*/ 17 w 20"/>
                <a:gd name="T11" fmla="*/ 5 h 25"/>
                <a:gd name="T12" fmla="*/ 16 w 20"/>
                <a:gd name="T13" fmla="*/ 3 h 25"/>
                <a:gd name="T14" fmla="*/ 15 w 20"/>
                <a:gd name="T15" fmla="*/ 2 h 25"/>
                <a:gd name="T16" fmla="*/ 14 w 20"/>
                <a:gd name="T17" fmla="*/ 2 h 25"/>
                <a:gd name="T18" fmla="*/ 13 w 20"/>
                <a:gd name="T19" fmla="*/ 2 h 25"/>
                <a:gd name="T20" fmla="*/ 9 w 20"/>
                <a:gd name="T21" fmla="*/ 21 h 25"/>
                <a:gd name="T22" fmla="*/ 8 w 20"/>
                <a:gd name="T23" fmla="*/ 21 h 25"/>
                <a:gd name="T24" fmla="*/ 8 w 20"/>
                <a:gd name="T25" fmla="*/ 22 h 25"/>
                <a:gd name="T26" fmla="*/ 8 w 20"/>
                <a:gd name="T27" fmla="*/ 24 h 25"/>
                <a:gd name="T28" fmla="*/ 9 w 20"/>
                <a:gd name="T29" fmla="*/ 24 h 25"/>
                <a:gd name="T30" fmla="*/ 10 w 20"/>
                <a:gd name="T31" fmla="*/ 24 h 25"/>
                <a:gd name="T32" fmla="*/ 11 w 20"/>
                <a:gd name="T33" fmla="*/ 24 h 25"/>
                <a:gd name="T34" fmla="*/ 11 w 20"/>
                <a:gd name="T35" fmla="*/ 25 h 25"/>
                <a:gd name="T36" fmla="*/ 0 w 20"/>
                <a:gd name="T37" fmla="*/ 25 h 25"/>
                <a:gd name="T38" fmla="*/ 0 w 20"/>
                <a:gd name="T39" fmla="*/ 24 h 25"/>
                <a:gd name="T40" fmla="*/ 1 w 20"/>
                <a:gd name="T41" fmla="*/ 24 h 25"/>
                <a:gd name="T42" fmla="*/ 2 w 20"/>
                <a:gd name="T43" fmla="*/ 24 h 25"/>
                <a:gd name="T44" fmla="*/ 3 w 20"/>
                <a:gd name="T45" fmla="*/ 24 h 25"/>
                <a:gd name="T46" fmla="*/ 4 w 20"/>
                <a:gd name="T47" fmla="*/ 24 h 25"/>
                <a:gd name="T48" fmla="*/ 4 w 20"/>
                <a:gd name="T49" fmla="*/ 22 h 25"/>
                <a:gd name="T50" fmla="*/ 4 w 20"/>
                <a:gd name="T51" fmla="*/ 21 h 25"/>
                <a:gd name="T52" fmla="*/ 9 w 20"/>
                <a:gd name="T53" fmla="*/ 2 h 25"/>
                <a:gd name="T54" fmla="*/ 8 w 20"/>
                <a:gd name="T55" fmla="*/ 2 h 25"/>
                <a:gd name="T56" fmla="*/ 7 w 20"/>
                <a:gd name="T57" fmla="*/ 2 h 25"/>
                <a:gd name="T58" fmla="*/ 6 w 20"/>
                <a:gd name="T59" fmla="*/ 2 h 25"/>
                <a:gd name="T60" fmla="*/ 6 w 20"/>
                <a:gd name="T61" fmla="*/ 3 h 25"/>
                <a:gd name="T62" fmla="*/ 5 w 20"/>
                <a:gd name="T63" fmla="*/ 5 h 25"/>
                <a:gd name="T64" fmla="*/ 4 w 20"/>
                <a:gd name="T65" fmla="*/ 5 h 25"/>
                <a:gd name="T66" fmla="*/ 4 w 20"/>
                <a:gd name="T67" fmla="*/ 6 h 25"/>
                <a:gd name="T68" fmla="*/ 3 w 20"/>
                <a:gd name="T69" fmla="*/ 6 h 25"/>
                <a:gd name="T70" fmla="*/ 3 w 20"/>
                <a:gd name="T71" fmla="*/ 8 h 25"/>
                <a:gd name="T72" fmla="*/ 2 w 20"/>
                <a:gd name="T73" fmla="*/ 8 h 25"/>
                <a:gd name="T74" fmla="*/ 4 w 20"/>
                <a:gd name="T75" fmla="*/ 0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"/>
                <a:gd name="T115" fmla="*/ 0 h 25"/>
                <a:gd name="T116" fmla="*/ 20 w 20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" h="25">
                  <a:moveTo>
                    <a:pt x="4" y="0"/>
                  </a:moveTo>
                  <a:lnTo>
                    <a:pt x="20" y="0"/>
                  </a:lnTo>
                  <a:lnTo>
                    <a:pt x="18" y="8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9" y="21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9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3"/>
                  </a:lnTo>
                  <a:lnTo>
                    <a:pt x="5" y="5"/>
                  </a:lnTo>
                  <a:lnTo>
                    <a:pt x="4" y="5"/>
                  </a:lnTo>
                  <a:lnTo>
                    <a:pt x="4" y="6"/>
                  </a:lnTo>
                  <a:lnTo>
                    <a:pt x="3" y="6"/>
                  </a:lnTo>
                  <a:lnTo>
                    <a:pt x="3" y="8"/>
                  </a:lnTo>
                  <a:lnTo>
                    <a:pt x="2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8" name="Freeform 21"/>
            <xdr:cNvSpPr>
              <a:spLocks noEditPoints="1"/>
            </xdr:cNvSpPr>
          </xdr:nvSpPr>
          <xdr:spPr bwMode="auto">
            <a:xfrm>
              <a:off x="36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6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19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0 w 21"/>
                <a:gd name="T31" fmla="*/ 9 h 25"/>
                <a:gd name="T32" fmla="*/ 18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8 w 21"/>
                <a:gd name="T39" fmla="*/ 22 h 25"/>
                <a:gd name="T40" fmla="*/ 19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1 w 21"/>
                <a:gd name="T51" fmla="*/ 12 h 25"/>
                <a:gd name="T52" fmla="*/ 13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3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2"/>
                  </a:lnTo>
                  <a:lnTo>
                    <a:pt x="20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19" y="11"/>
                  </a:lnTo>
                  <a:lnTo>
                    <a:pt x="18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3" y="11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9" name="Freeform 22"/>
            <xdr:cNvSpPr>
              <a:spLocks/>
            </xdr:cNvSpPr>
          </xdr:nvSpPr>
          <xdr:spPr bwMode="auto">
            <a:xfrm>
              <a:off x="392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0 w 22"/>
                <a:gd name="T3" fmla="*/ 2 h 25"/>
                <a:gd name="T4" fmla="*/ 19 w 22"/>
                <a:gd name="T5" fmla="*/ 5 h 25"/>
                <a:gd name="T6" fmla="*/ 18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2 w 22"/>
                <a:gd name="T13" fmla="*/ 24 h 25"/>
                <a:gd name="T14" fmla="*/ 10 w 22"/>
                <a:gd name="T15" fmla="*/ 24 h 25"/>
                <a:gd name="T16" fmla="*/ 8 w 22"/>
                <a:gd name="T17" fmla="*/ 25 h 25"/>
                <a:gd name="T18" fmla="*/ 7 w 22"/>
                <a:gd name="T19" fmla="*/ 25 h 25"/>
                <a:gd name="T20" fmla="*/ 5 w 22"/>
                <a:gd name="T21" fmla="*/ 25 h 25"/>
                <a:gd name="T22" fmla="*/ 3 w 22"/>
                <a:gd name="T23" fmla="*/ 24 h 25"/>
                <a:gd name="T24" fmla="*/ 1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3 w 22"/>
                <a:gd name="T33" fmla="*/ 5 h 25"/>
                <a:gd name="T34" fmla="*/ 2 w 22"/>
                <a:gd name="T35" fmla="*/ 2 h 25"/>
                <a:gd name="T36" fmla="*/ 1 w 22"/>
                <a:gd name="T37" fmla="*/ 2 h 25"/>
                <a:gd name="T38" fmla="*/ 11 w 22"/>
                <a:gd name="T39" fmla="*/ 0 h 25"/>
                <a:gd name="T40" fmla="*/ 10 w 22"/>
                <a:gd name="T41" fmla="*/ 2 h 25"/>
                <a:gd name="T42" fmla="*/ 8 w 22"/>
                <a:gd name="T43" fmla="*/ 3 h 25"/>
                <a:gd name="T44" fmla="*/ 8 w 22"/>
                <a:gd name="T45" fmla="*/ 5 h 25"/>
                <a:gd name="T46" fmla="*/ 5 w 22"/>
                <a:gd name="T47" fmla="*/ 16 h 25"/>
                <a:gd name="T48" fmla="*/ 4 w 22"/>
                <a:gd name="T49" fmla="*/ 18 h 25"/>
                <a:gd name="T50" fmla="*/ 4 w 22"/>
                <a:gd name="T51" fmla="*/ 21 h 25"/>
                <a:gd name="T52" fmla="*/ 6 w 22"/>
                <a:gd name="T53" fmla="*/ 24 h 25"/>
                <a:gd name="T54" fmla="*/ 8 w 22"/>
                <a:gd name="T55" fmla="*/ 24 h 25"/>
                <a:gd name="T56" fmla="*/ 9 w 22"/>
                <a:gd name="T57" fmla="*/ 24 h 25"/>
                <a:gd name="T58" fmla="*/ 10 w 22"/>
                <a:gd name="T59" fmla="*/ 22 h 25"/>
                <a:gd name="T60" fmla="*/ 12 w 22"/>
                <a:gd name="T61" fmla="*/ 21 h 25"/>
                <a:gd name="T62" fmla="*/ 13 w 22"/>
                <a:gd name="T63" fmla="*/ 19 h 25"/>
                <a:gd name="T64" fmla="*/ 14 w 22"/>
                <a:gd name="T65" fmla="*/ 18 h 25"/>
                <a:gd name="T66" fmla="*/ 17 w 22"/>
                <a:gd name="T67" fmla="*/ 6 h 25"/>
                <a:gd name="T68" fmla="*/ 17 w 22"/>
                <a:gd name="T69" fmla="*/ 3 h 25"/>
                <a:gd name="T70" fmla="*/ 15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3"/>
                  </a:lnTo>
                  <a:lnTo>
                    <a:pt x="19" y="5"/>
                  </a:lnTo>
                  <a:lnTo>
                    <a:pt x="18" y="5"/>
                  </a:lnTo>
                  <a:lnTo>
                    <a:pt x="18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3" y="22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3" y="6"/>
                  </a:lnTo>
                  <a:lnTo>
                    <a:pt x="3" y="5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5" y="16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2"/>
                  </a:lnTo>
                  <a:lnTo>
                    <a:pt x="11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0" name="Freeform 23"/>
            <xdr:cNvSpPr>
              <a:spLocks/>
            </xdr:cNvSpPr>
          </xdr:nvSpPr>
          <xdr:spPr bwMode="auto">
            <a:xfrm>
              <a:off x="413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1" name="Freeform 24"/>
            <xdr:cNvSpPr>
              <a:spLocks/>
            </xdr:cNvSpPr>
          </xdr:nvSpPr>
          <xdr:spPr bwMode="auto">
            <a:xfrm>
              <a:off x="434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2" name="Freeform 25"/>
            <xdr:cNvSpPr>
              <a:spLocks/>
            </xdr:cNvSpPr>
          </xdr:nvSpPr>
          <xdr:spPr bwMode="auto">
            <a:xfrm>
              <a:off x="451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1 w 16"/>
                <a:gd name="T27" fmla="*/ 24 h 25"/>
                <a:gd name="T28" fmla="*/ 11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4 w 16"/>
                <a:gd name="T41" fmla="*/ 22 h 25"/>
                <a:gd name="T42" fmla="*/ 4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3" name="Freeform 26"/>
            <xdr:cNvSpPr>
              <a:spLocks noEditPoints="1"/>
            </xdr:cNvSpPr>
          </xdr:nvSpPr>
          <xdr:spPr bwMode="auto">
            <a:xfrm>
              <a:off x="465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5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3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9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20 w 20"/>
                <a:gd name="T47" fmla="*/ 13 h 25"/>
                <a:gd name="T48" fmla="*/ 19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3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3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5 w 20"/>
                <a:gd name="T81" fmla="*/ 16 h 25"/>
                <a:gd name="T82" fmla="*/ 5 w 20"/>
                <a:gd name="T83" fmla="*/ 19 h 25"/>
                <a:gd name="T84" fmla="*/ 5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2 w 20"/>
                <a:gd name="T93" fmla="*/ 22 h 25"/>
                <a:gd name="T94" fmla="*/ 13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20" y="12"/>
                  </a:lnTo>
                  <a:lnTo>
                    <a:pt x="20" y="13"/>
                  </a:lnTo>
                  <a:lnTo>
                    <a:pt x="19" y="13"/>
                  </a:lnTo>
                  <a:lnTo>
                    <a:pt x="19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3" y="0"/>
                  </a:lnTo>
                  <a:lnTo>
                    <a:pt x="12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4" name="Freeform 27"/>
            <xdr:cNvSpPr>
              <a:spLocks/>
            </xdr:cNvSpPr>
          </xdr:nvSpPr>
          <xdr:spPr bwMode="auto">
            <a:xfrm>
              <a:off x="485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1 w 26"/>
                <a:gd name="T7" fmla="*/ 5 h 25"/>
                <a:gd name="T8" fmla="*/ 21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4 w 26"/>
                <a:gd name="T25" fmla="*/ 2 h 25"/>
                <a:gd name="T26" fmla="*/ 23 w 26"/>
                <a:gd name="T27" fmla="*/ 3 h 25"/>
                <a:gd name="T28" fmla="*/ 22 w 26"/>
                <a:gd name="T29" fmla="*/ 3 h 25"/>
                <a:gd name="T30" fmla="*/ 22 w 26"/>
                <a:gd name="T31" fmla="*/ 5 h 25"/>
                <a:gd name="T32" fmla="*/ 22 w 26"/>
                <a:gd name="T33" fmla="*/ 6 h 25"/>
                <a:gd name="T34" fmla="*/ 17 w 26"/>
                <a:gd name="T35" fmla="*/ 25 h 25"/>
                <a:gd name="T36" fmla="*/ 16 w 26"/>
                <a:gd name="T37" fmla="*/ 25 h 25"/>
                <a:gd name="T38" fmla="*/ 8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0 w 26"/>
                <a:gd name="T59" fmla="*/ 24 h 25"/>
                <a:gd name="T60" fmla="*/ 1 w 26"/>
                <a:gd name="T61" fmla="*/ 24 h 25"/>
                <a:gd name="T62" fmla="*/ 2 w 26"/>
                <a:gd name="T63" fmla="*/ 24 h 25"/>
                <a:gd name="T64" fmla="*/ 3 w 26"/>
                <a:gd name="T65" fmla="*/ 22 h 25"/>
                <a:gd name="T66" fmla="*/ 3 w 26"/>
                <a:gd name="T67" fmla="*/ 21 h 25"/>
                <a:gd name="T68" fmla="*/ 7 w 26"/>
                <a:gd name="T69" fmla="*/ 3 h 25"/>
                <a:gd name="T70" fmla="*/ 7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2"/>
                  </a:lnTo>
                  <a:lnTo>
                    <a:pt x="23" y="3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8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5" name="Freeform 28"/>
            <xdr:cNvSpPr>
              <a:spLocks/>
            </xdr:cNvSpPr>
          </xdr:nvSpPr>
          <xdr:spPr bwMode="auto">
            <a:xfrm>
              <a:off x="507" y="156"/>
              <a:ext cx="23" cy="25"/>
            </a:xfrm>
            <a:custGeom>
              <a:avLst/>
              <a:gdLst>
                <a:gd name="T0" fmla="*/ 11 w 23"/>
                <a:gd name="T1" fmla="*/ 12 h 25"/>
                <a:gd name="T2" fmla="*/ 13 w 23"/>
                <a:gd name="T3" fmla="*/ 12 h 25"/>
                <a:gd name="T4" fmla="*/ 14 w 23"/>
                <a:gd name="T5" fmla="*/ 12 h 25"/>
                <a:gd name="T6" fmla="*/ 16 w 23"/>
                <a:gd name="T7" fmla="*/ 11 h 25"/>
                <a:gd name="T8" fmla="*/ 17 w 23"/>
                <a:gd name="T9" fmla="*/ 9 h 25"/>
                <a:gd name="T10" fmla="*/ 18 w 23"/>
                <a:gd name="T11" fmla="*/ 8 h 25"/>
                <a:gd name="T12" fmla="*/ 15 w 23"/>
                <a:gd name="T13" fmla="*/ 16 h 25"/>
                <a:gd name="T14" fmla="*/ 15 w 23"/>
                <a:gd name="T15" fmla="*/ 13 h 25"/>
                <a:gd name="T16" fmla="*/ 13 w 23"/>
                <a:gd name="T17" fmla="*/ 13 h 25"/>
                <a:gd name="T18" fmla="*/ 12 w 23"/>
                <a:gd name="T19" fmla="*/ 13 h 25"/>
                <a:gd name="T20" fmla="*/ 8 w 23"/>
                <a:gd name="T21" fmla="*/ 21 h 25"/>
                <a:gd name="T22" fmla="*/ 8 w 23"/>
                <a:gd name="T23" fmla="*/ 24 h 25"/>
                <a:gd name="T24" fmla="*/ 10 w 23"/>
                <a:gd name="T25" fmla="*/ 24 h 25"/>
                <a:gd name="T26" fmla="*/ 12 w 23"/>
                <a:gd name="T27" fmla="*/ 24 h 25"/>
                <a:gd name="T28" fmla="*/ 13 w 23"/>
                <a:gd name="T29" fmla="*/ 24 h 25"/>
                <a:gd name="T30" fmla="*/ 15 w 23"/>
                <a:gd name="T31" fmla="*/ 24 h 25"/>
                <a:gd name="T32" fmla="*/ 17 w 23"/>
                <a:gd name="T33" fmla="*/ 21 h 25"/>
                <a:gd name="T34" fmla="*/ 19 w 23"/>
                <a:gd name="T35" fmla="*/ 19 h 25"/>
                <a:gd name="T36" fmla="*/ 18 w 23"/>
                <a:gd name="T37" fmla="*/ 25 h 25"/>
                <a:gd name="T38" fmla="*/ 0 w 23"/>
                <a:gd name="T39" fmla="*/ 24 h 25"/>
                <a:gd name="T40" fmla="*/ 2 w 23"/>
                <a:gd name="T41" fmla="*/ 24 h 25"/>
                <a:gd name="T42" fmla="*/ 4 w 23"/>
                <a:gd name="T43" fmla="*/ 22 h 25"/>
                <a:gd name="T44" fmla="*/ 8 w 23"/>
                <a:gd name="T45" fmla="*/ 6 h 25"/>
                <a:gd name="T46" fmla="*/ 8 w 23"/>
                <a:gd name="T47" fmla="*/ 3 h 25"/>
                <a:gd name="T48" fmla="*/ 6 w 23"/>
                <a:gd name="T49" fmla="*/ 2 h 25"/>
                <a:gd name="T50" fmla="*/ 6 w 23"/>
                <a:gd name="T51" fmla="*/ 0 h 25"/>
                <a:gd name="T52" fmla="*/ 21 w 23"/>
                <a:gd name="T53" fmla="*/ 8 h 25"/>
                <a:gd name="T54" fmla="*/ 20 w 23"/>
                <a:gd name="T55" fmla="*/ 6 h 25"/>
                <a:gd name="T56" fmla="*/ 20 w 23"/>
                <a:gd name="T57" fmla="*/ 5 h 25"/>
                <a:gd name="T58" fmla="*/ 19 w 23"/>
                <a:gd name="T59" fmla="*/ 3 h 25"/>
                <a:gd name="T60" fmla="*/ 17 w 23"/>
                <a:gd name="T61" fmla="*/ 2 h 25"/>
                <a:gd name="T62" fmla="*/ 15 w 23"/>
                <a:gd name="T63" fmla="*/ 2 h 2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3"/>
                <a:gd name="T97" fmla="*/ 0 h 25"/>
                <a:gd name="T98" fmla="*/ 23 w 23"/>
                <a:gd name="T99" fmla="*/ 25 h 2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3" h="25">
                  <a:moveTo>
                    <a:pt x="13" y="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8" y="8"/>
                  </a:lnTo>
                  <a:lnTo>
                    <a:pt x="16" y="16"/>
                  </a:lnTo>
                  <a:lnTo>
                    <a:pt x="15" y="16"/>
                  </a:lnTo>
                  <a:lnTo>
                    <a:pt x="15" y="15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4"/>
                  </a:lnTo>
                  <a:lnTo>
                    <a:pt x="16" y="22"/>
                  </a:lnTo>
                  <a:lnTo>
                    <a:pt x="17" y="21"/>
                  </a:lnTo>
                  <a:lnTo>
                    <a:pt x="18" y="21"/>
                  </a:lnTo>
                  <a:lnTo>
                    <a:pt x="19" y="19"/>
                  </a:lnTo>
                  <a:lnTo>
                    <a:pt x="20" y="19"/>
                  </a:lnTo>
                  <a:lnTo>
                    <a:pt x="18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23" y="0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6"/>
                  </a:lnTo>
                  <a:lnTo>
                    <a:pt x="20" y="5"/>
                  </a:lnTo>
                  <a:lnTo>
                    <a:pt x="20" y="3"/>
                  </a:lnTo>
                  <a:lnTo>
                    <a:pt x="19" y="3"/>
                  </a:lnTo>
                  <a:lnTo>
                    <a:pt x="18" y="2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3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6" name="Freeform 29"/>
            <xdr:cNvSpPr>
              <a:spLocks/>
            </xdr:cNvSpPr>
          </xdr:nvSpPr>
          <xdr:spPr bwMode="auto">
            <a:xfrm>
              <a:off x="527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7" name="Freeform 30"/>
            <xdr:cNvSpPr>
              <a:spLocks/>
            </xdr:cNvSpPr>
          </xdr:nvSpPr>
          <xdr:spPr bwMode="auto">
            <a:xfrm>
              <a:off x="552" y="156"/>
              <a:ext cx="18" cy="25"/>
            </a:xfrm>
            <a:custGeom>
              <a:avLst/>
              <a:gdLst>
                <a:gd name="T0" fmla="*/ 17 w 18"/>
                <a:gd name="T1" fmla="*/ 9 h 25"/>
                <a:gd name="T2" fmla="*/ 16 w 18"/>
                <a:gd name="T3" fmla="*/ 8 h 25"/>
                <a:gd name="T4" fmla="*/ 16 w 18"/>
                <a:gd name="T5" fmla="*/ 5 h 25"/>
                <a:gd name="T6" fmla="*/ 15 w 18"/>
                <a:gd name="T7" fmla="*/ 3 h 25"/>
                <a:gd name="T8" fmla="*/ 13 w 18"/>
                <a:gd name="T9" fmla="*/ 0 h 25"/>
                <a:gd name="T10" fmla="*/ 11 w 18"/>
                <a:gd name="T11" fmla="*/ 0 h 25"/>
                <a:gd name="T12" fmla="*/ 10 w 18"/>
                <a:gd name="T13" fmla="*/ 2 h 25"/>
                <a:gd name="T14" fmla="*/ 9 w 18"/>
                <a:gd name="T15" fmla="*/ 5 h 25"/>
                <a:gd name="T16" fmla="*/ 9 w 18"/>
                <a:gd name="T17" fmla="*/ 8 h 25"/>
                <a:gd name="T18" fmla="*/ 10 w 18"/>
                <a:gd name="T19" fmla="*/ 9 h 25"/>
                <a:gd name="T20" fmla="*/ 10 w 18"/>
                <a:gd name="T21" fmla="*/ 11 h 25"/>
                <a:gd name="T22" fmla="*/ 11 w 18"/>
                <a:gd name="T23" fmla="*/ 12 h 25"/>
                <a:gd name="T24" fmla="*/ 13 w 18"/>
                <a:gd name="T25" fmla="*/ 13 h 25"/>
                <a:gd name="T26" fmla="*/ 14 w 18"/>
                <a:gd name="T27" fmla="*/ 15 h 25"/>
                <a:gd name="T28" fmla="*/ 15 w 18"/>
                <a:gd name="T29" fmla="*/ 18 h 25"/>
                <a:gd name="T30" fmla="*/ 15 w 18"/>
                <a:gd name="T31" fmla="*/ 21 h 25"/>
                <a:gd name="T32" fmla="*/ 13 w 18"/>
                <a:gd name="T33" fmla="*/ 24 h 25"/>
                <a:gd name="T34" fmla="*/ 11 w 18"/>
                <a:gd name="T35" fmla="*/ 24 h 25"/>
                <a:gd name="T36" fmla="*/ 10 w 18"/>
                <a:gd name="T37" fmla="*/ 25 h 25"/>
                <a:gd name="T38" fmla="*/ 8 w 18"/>
                <a:gd name="T39" fmla="*/ 25 h 25"/>
                <a:gd name="T40" fmla="*/ 6 w 18"/>
                <a:gd name="T41" fmla="*/ 25 h 25"/>
                <a:gd name="T42" fmla="*/ 4 w 18"/>
                <a:gd name="T43" fmla="*/ 24 h 25"/>
                <a:gd name="T44" fmla="*/ 3 w 18"/>
                <a:gd name="T45" fmla="*/ 24 h 25"/>
                <a:gd name="T46" fmla="*/ 2 w 18"/>
                <a:gd name="T47" fmla="*/ 25 h 25"/>
                <a:gd name="T48" fmla="*/ 0 w 18"/>
                <a:gd name="T49" fmla="*/ 25 h 25"/>
                <a:gd name="T50" fmla="*/ 3 w 18"/>
                <a:gd name="T51" fmla="*/ 18 h 25"/>
                <a:gd name="T52" fmla="*/ 3 w 18"/>
                <a:gd name="T53" fmla="*/ 19 h 25"/>
                <a:gd name="T54" fmla="*/ 4 w 18"/>
                <a:gd name="T55" fmla="*/ 21 h 25"/>
                <a:gd name="T56" fmla="*/ 5 w 18"/>
                <a:gd name="T57" fmla="*/ 24 h 25"/>
                <a:gd name="T58" fmla="*/ 7 w 18"/>
                <a:gd name="T59" fmla="*/ 24 h 25"/>
                <a:gd name="T60" fmla="*/ 9 w 18"/>
                <a:gd name="T61" fmla="*/ 24 h 25"/>
                <a:gd name="T62" fmla="*/ 10 w 18"/>
                <a:gd name="T63" fmla="*/ 24 h 25"/>
                <a:gd name="T64" fmla="*/ 11 w 18"/>
                <a:gd name="T65" fmla="*/ 21 h 25"/>
                <a:gd name="T66" fmla="*/ 10 w 18"/>
                <a:gd name="T67" fmla="*/ 18 h 25"/>
                <a:gd name="T68" fmla="*/ 10 w 18"/>
                <a:gd name="T69" fmla="*/ 16 h 25"/>
                <a:gd name="T70" fmla="*/ 9 w 18"/>
                <a:gd name="T71" fmla="*/ 15 h 25"/>
                <a:gd name="T72" fmla="*/ 8 w 18"/>
                <a:gd name="T73" fmla="*/ 13 h 25"/>
                <a:gd name="T74" fmla="*/ 7 w 18"/>
                <a:gd name="T75" fmla="*/ 12 h 25"/>
                <a:gd name="T76" fmla="*/ 5 w 18"/>
                <a:gd name="T77" fmla="*/ 9 h 25"/>
                <a:gd name="T78" fmla="*/ 5 w 18"/>
                <a:gd name="T79" fmla="*/ 6 h 25"/>
                <a:gd name="T80" fmla="*/ 6 w 18"/>
                <a:gd name="T81" fmla="*/ 5 h 25"/>
                <a:gd name="T82" fmla="*/ 7 w 18"/>
                <a:gd name="T83" fmla="*/ 2 h 25"/>
                <a:gd name="T84" fmla="*/ 9 w 18"/>
                <a:gd name="T85" fmla="*/ 0 h 25"/>
                <a:gd name="T86" fmla="*/ 10 w 18"/>
                <a:gd name="T87" fmla="*/ 0 h 25"/>
                <a:gd name="T88" fmla="*/ 12 w 18"/>
                <a:gd name="T89" fmla="*/ 0 h 25"/>
                <a:gd name="T90" fmla="*/ 14 w 18"/>
                <a:gd name="T91" fmla="*/ 0 h 25"/>
                <a:gd name="T92" fmla="*/ 16 w 18"/>
                <a:gd name="T93" fmla="*/ 0 h 25"/>
                <a:gd name="T94" fmla="*/ 17 w 18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8"/>
                <a:gd name="T145" fmla="*/ 0 h 25"/>
                <a:gd name="T146" fmla="*/ 18 w 18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8" h="25">
                  <a:moveTo>
                    <a:pt x="18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0" y="11"/>
                  </a:lnTo>
                  <a:lnTo>
                    <a:pt x="11" y="11"/>
                  </a:lnTo>
                  <a:lnTo>
                    <a:pt x="11" y="12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3" y="19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1" y="19"/>
                  </a:lnTo>
                  <a:lnTo>
                    <a:pt x="10" y="18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8" name="Freeform 31"/>
            <xdr:cNvSpPr>
              <a:spLocks/>
            </xdr:cNvSpPr>
          </xdr:nvSpPr>
          <xdr:spPr bwMode="auto">
            <a:xfrm>
              <a:off x="569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9" name="Freeform 32"/>
            <xdr:cNvSpPr>
              <a:spLocks noEditPoints="1"/>
            </xdr:cNvSpPr>
          </xdr:nvSpPr>
          <xdr:spPr bwMode="auto">
            <a:xfrm>
              <a:off x="576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7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20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1 w 21"/>
                <a:gd name="T31" fmla="*/ 9 h 25"/>
                <a:gd name="T32" fmla="*/ 19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9 w 21"/>
                <a:gd name="T39" fmla="*/ 22 h 25"/>
                <a:gd name="T40" fmla="*/ 20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2 w 21"/>
                <a:gd name="T51" fmla="*/ 12 h 25"/>
                <a:gd name="T52" fmla="*/ 14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4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2"/>
                  </a:lnTo>
                  <a:lnTo>
                    <a:pt x="21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9" y="22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0" name="Freeform 33"/>
            <xdr:cNvSpPr>
              <a:spLocks/>
            </xdr:cNvSpPr>
          </xdr:nvSpPr>
          <xdr:spPr bwMode="auto">
            <a:xfrm>
              <a:off x="597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1" name="Freeform 34"/>
            <xdr:cNvSpPr>
              <a:spLocks/>
            </xdr:cNvSpPr>
          </xdr:nvSpPr>
          <xdr:spPr bwMode="auto">
            <a:xfrm>
              <a:off x="604" y="156"/>
              <a:ext cx="19" cy="25"/>
            </a:xfrm>
            <a:custGeom>
              <a:avLst/>
              <a:gdLst>
                <a:gd name="T0" fmla="*/ 17 w 19"/>
                <a:gd name="T1" fmla="*/ 25 h 25"/>
                <a:gd name="T2" fmla="*/ 0 w 19"/>
                <a:gd name="T3" fmla="*/ 25 h 25"/>
                <a:gd name="T4" fmla="*/ 0 w 19"/>
                <a:gd name="T5" fmla="*/ 24 h 25"/>
                <a:gd name="T6" fmla="*/ 1 w 19"/>
                <a:gd name="T7" fmla="*/ 24 h 25"/>
                <a:gd name="T8" fmla="*/ 2 w 19"/>
                <a:gd name="T9" fmla="*/ 24 h 25"/>
                <a:gd name="T10" fmla="*/ 3 w 19"/>
                <a:gd name="T11" fmla="*/ 24 h 25"/>
                <a:gd name="T12" fmla="*/ 4 w 19"/>
                <a:gd name="T13" fmla="*/ 22 h 25"/>
                <a:gd name="T14" fmla="*/ 4 w 19"/>
                <a:gd name="T15" fmla="*/ 21 h 25"/>
                <a:gd name="T16" fmla="*/ 8 w 19"/>
                <a:gd name="T17" fmla="*/ 6 h 25"/>
                <a:gd name="T18" fmla="*/ 8 w 19"/>
                <a:gd name="T19" fmla="*/ 5 h 25"/>
                <a:gd name="T20" fmla="*/ 8 w 19"/>
                <a:gd name="T21" fmla="*/ 3 h 25"/>
                <a:gd name="T22" fmla="*/ 7 w 19"/>
                <a:gd name="T23" fmla="*/ 2 h 25"/>
                <a:gd name="T24" fmla="*/ 7 w 19"/>
                <a:gd name="T25" fmla="*/ 2 h 25"/>
                <a:gd name="T26" fmla="*/ 6 w 19"/>
                <a:gd name="T27" fmla="*/ 2 h 25"/>
                <a:gd name="T28" fmla="*/ 7 w 19"/>
                <a:gd name="T29" fmla="*/ 0 h 25"/>
                <a:gd name="T30" fmla="*/ 16 w 19"/>
                <a:gd name="T31" fmla="*/ 0 h 25"/>
                <a:gd name="T32" fmla="*/ 15 w 19"/>
                <a:gd name="T33" fmla="*/ 2 h 25"/>
                <a:gd name="T34" fmla="*/ 14 w 19"/>
                <a:gd name="T35" fmla="*/ 2 h 25"/>
                <a:gd name="T36" fmla="*/ 14 w 19"/>
                <a:gd name="T37" fmla="*/ 3 h 25"/>
                <a:gd name="T38" fmla="*/ 14 w 19"/>
                <a:gd name="T39" fmla="*/ 5 h 25"/>
                <a:gd name="T40" fmla="*/ 13 w 19"/>
                <a:gd name="T41" fmla="*/ 5 h 25"/>
                <a:gd name="T42" fmla="*/ 13 w 19"/>
                <a:gd name="T43" fmla="*/ 6 h 25"/>
                <a:gd name="T44" fmla="*/ 9 w 19"/>
                <a:gd name="T45" fmla="*/ 21 h 25"/>
                <a:gd name="T46" fmla="*/ 8 w 19"/>
                <a:gd name="T47" fmla="*/ 22 h 25"/>
                <a:gd name="T48" fmla="*/ 8 w 19"/>
                <a:gd name="T49" fmla="*/ 24 h 25"/>
                <a:gd name="T50" fmla="*/ 9 w 19"/>
                <a:gd name="T51" fmla="*/ 24 h 25"/>
                <a:gd name="T52" fmla="*/ 10 w 19"/>
                <a:gd name="T53" fmla="*/ 24 h 25"/>
                <a:gd name="T54" fmla="*/ 11 w 19"/>
                <a:gd name="T55" fmla="*/ 24 h 25"/>
                <a:gd name="T56" fmla="*/ 12 w 19"/>
                <a:gd name="T57" fmla="*/ 24 h 25"/>
                <a:gd name="T58" fmla="*/ 13 w 19"/>
                <a:gd name="T59" fmla="*/ 24 h 25"/>
                <a:gd name="T60" fmla="*/ 14 w 19"/>
                <a:gd name="T61" fmla="*/ 24 h 25"/>
                <a:gd name="T62" fmla="*/ 14 w 19"/>
                <a:gd name="T63" fmla="*/ 24 h 25"/>
                <a:gd name="T64" fmla="*/ 15 w 19"/>
                <a:gd name="T65" fmla="*/ 22 h 25"/>
                <a:gd name="T66" fmla="*/ 16 w 19"/>
                <a:gd name="T67" fmla="*/ 21 h 25"/>
                <a:gd name="T68" fmla="*/ 17 w 19"/>
                <a:gd name="T69" fmla="*/ 21 h 25"/>
                <a:gd name="T70" fmla="*/ 18 w 19"/>
                <a:gd name="T71" fmla="*/ 19 h 25"/>
                <a:gd name="T72" fmla="*/ 19 w 19"/>
                <a:gd name="T73" fmla="*/ 19 h 25"/>
                <a:gd name="T74" fmla="*/ 17 w 19"/>
                <a:gd name="T75" fmla="*/ 25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19"/>
                <a:gd name="T115" fmla="*/ 0 h 25"/>
                <a:gd name="T116" fmla="*/ 19 w 19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19" h="25">
                  <a:moveTo>
                    <a:pt x="17" y="25"/>
                  </a:move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7" y="0"/>
                  </a:lnTo>
                  <a:lnTo>
                    <a:pt x="16" y="0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4" y="3"/>
                  </a:lnTo>
                  <a:lnTo>
                    <a:pt x="14" y="5"/>
                  </a:lnTo>
                  <a:lnTo>
                    <a:pt x="13" y="5"/>
                  </a:lnTo>
                  <a:lnTo>
                    <a:pt x="13" y="6"/>
                  </a:lnTo>
                  <a:lnTo>
                    <a:pt x="9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2"/>
                  </a:lnTo>
                  <a:lnTo>
                    <a:pt x="16" y="21"/>
                  </a:lnTo>
                  <a:lnTo>
                    <a:pt x="17" y="21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2" name="Freeform 35"/>
            <xdr:cNvSpPr>
              <a:spLocks/>
            </xdr:cNvSpPr>
          </xdr:nvSpPr>
          <xdr:spPr bwMode="auto">
            <a:xfrm>
              <a:off x="623" y="177"/>
              <a:ext cx="3" cy="4"/>
            </a:xfrm>
            <a:custGeom>
              <a:avLst/>
              <a:gdLst>
                <a:gd name="T0" fmla="*/ 2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2 w 3"/>
                <a:gd name="T15" fmla="*/ 4 h 4"/>
                <a:gd name="T16" fmla="*/ 1 w 3"/>
                <a:gd name="T17" fmla="*/ 4 h 4"/>
                <a:gd name="T18" fmla="*/ 1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1 w 3"/>
                <a:gd name="T25" fmla="*/ 1 h 4"/>
                <a:gd name="T26" fmla="*/ 1 w 3"/>
                <a:gd name="T27" fmla="*/ 0 h 4"/>
                <a:gd name="T28" fmla="*/ 2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2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3" name="Freeform 36"/>
            <xdr:cNvSpPr>
              <a:spLocks/>
            </xdr:cNvSpPr>
          </xdr:nvSpPr>
          <xdr:spPr bwMode="auto">
            <a:xfrm>
              <a:off x="116" y="281"/>
              <a:ext cx="431" cy="4"/>
            </a:xfrm>
            <a:custGeom>
              <a:avLst/>
              <a:gdLst>
                <a:gd name="T0" fmla="*/ 431 w 431"/>
                <a:gd name="T1" fmla="*/ 1 h 4"/>
                <a:gd name="T2" fmla="*/ 431 w 431"/>
                <a:gd name="T3" fmla="*/ 0 h 4"/>
                <a:gd name="T4" fmla="*/ 0 w 431"/>
                <a:gd name="T5" fmla="*/ 0 h 4"/>
                <a:gd name="T6" fmla="*/ 0 w 431"/>
                <a:gd name="T7" fmla="*/ 4 h 4"/>
                <a:gd name="T8" fmla="*/ 431 w 431"/>
                <a:gd name="T9" fmla="*/ 4 h 4"/>
                <a:gd name="T10" fmla="*/ 431 w 43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31"/>
                <a:gd name="T19" fmla="*/ 0 h 4"/>
                <a:gd name="T20" fmla="*/ 431 w 43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31" h="4">
                  <a:moveTo>
                    <a:pt x="431" y="1"/>
                  </a:moveTo>
                  <a:lnTo>
                    <a:pt x="43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31" y="4"/>
                  </a:lnTo>
                  <a:lnTo>
                    <a:pt x="43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4" name="Freeform 37"/>
            <xdr:cNvSpPr>
              <a:spLocks/>
            </xdr:cNvSpPr>
          </xdr:nvSpPr>
          <xdr:spPr bwMode="auto">
            <a:xfrm>
              <a:off x="618" y="238"/>
              <a:ext cx="11" cy="4"/>
            </a:xfrm>
            <a:custGeom>
              <a:avLst/>
              <a:gdLst>
                <a:gd name="T0" fmla="*/ 11 w 11"/>
                <a:gd name="T1" fmla="*/ 1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1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" name="Freeform 38"/>
            <xdr:cNvSpPr>
              <a:spLocks/>
            </xdr:cNvSpPr>
          </xdr:nvSpPr>
          <xdr:spPr bwMode="auto">
            <a:xfrm>
              <a:off x="607" y="222"/>
              <a:ext cx="12" cy="18"/>
            </a:xfrm>
            <a:custGeom>
              <a:avLst/>
              <a:gdLst>
                <a:gd name="T0" fmla="*/ 1 w 12"/>
                <a:gd name="T1" fmla="*/ 1 h 18"/>
                <a:gd name="T2" fmla="*/ 0 w 12"/>
                <a:gd name="T3" fmla="*/ 3 h 18"/>
                <a:gd name="T4" fmla="*/ 10 w 12"/>
                <a:gd name="T5" fmla="*/ 18 h 18"/>
                <a:gd name="T6" fmla="*/ 12 w 12"/>
                <a:gd name="T7" fmla="*/ 16 h 18"/>
                <a:gd name="T8" fmla="*/ 2 w 12"/>
                <a:gd name="T9" fmla="*/ 0 h 18"/>
                <a:gd name="T10" fmla="*/ 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" y="1"/>
                  </a:moveTo>
                  <a:lnTo>
                    <a:pt x="0" y="3"/>
                  </a:lnTo>
                  <a:lnTo>
                    <a:pt x="10" y="18"/>
                  </a:lnTo>
                  <a:lnTo>
                    <a:pt x="12" y="16"/>
                  </a:lnTo>
                  <a:lnTo>
                    <a:pt x="2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6" name="Freeform 39"/>
            <xdr:cNvSpPr>
              <a:spLocks/>
            </xdr:cNvSpPr>
          </xdr:nvSpPr>
          <xdr:spPr bwMode="auto">
            <a:xfrm>
              <a:off x="554" y="206"/>
              <a:ext cx="75" cy="4"/>
            </a:xfrm>
            <a:custGeom>
              <a:avLst/>
              <a:gdLst>
                <a:gd name="T0" fmla="*/ 0 w 75"/>
                <a:gd name="T1" fmla="*/ 1 h 4"/>
                <a:gd name="T2" fmla="*/ 0 w 75"/>
                <a:gd name="T3" fmla="*/ 4 h 4"/>
                <a:gd name="T4" fmla="*/ 75 w 75"/>
                <a:gd name="T5" fmla="*/ 4 h 4"/>
                <a:gd name="T6" fmla="*/ 75 w 75"/>
                <a:gd name="T7" fmla="*/ 0 h 4"/>
                <a:gd name="T8" fmla="*/ 0 w 75"/>
                <a:gd name="T9" fmla="*/ 0 h 4"/>
                <a:gd name="T10" fmla="*/ 0 w 75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4"/>
                <a:gd name="T20" fmla="*/ 75 w 7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4">
                  <a:moveTo>
                    <a:pt x="0" y="1"/>
                  </a:moveTo>
                  <a:lnTo>
                    <a:pt x="0" y="4"/>
                  </a:lnTo>
                  <a:lnTo>
                    <a:pt x="75" y="4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7" name="Freeform 40"/>
            <xdr:cNvSpPr>
              <a:spLocks/>
            </xdr:cNvSpPr>
          </xdr:nvSpPr>
          <xdr:spPr bwMode="auto">
            <a:xfrm>
              <a:off x="628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8" name="Freeform 41"/>
            <xdr:cNvSpPr>
              <a:spLocks/>
            </xdr:cNvSpPr>
          </xdr:nvSpPr>
          <xdr:spPr bwMode="auto">
            <a:xfrm>
              <a:off x="597" y="222"/>
              <a:ext cx="12" cy="18"/>
            </a:xfrm>
            <a:custGeom>
              <a:avLst/>
              <a:gdLst>
                <a:gd name="T0" fmla="*/ 11 w 12"/>
                <a:gd name="T1" fmla="*/ 1 h 18"/>
                <a:gd name="T2" fmla="*/ 10 w 12"/>
                <a:gd name="T3" fmla="*/ 0 h 18"/>
                <a:gd name="T4" fmla="*/ 0 w 12"/>
                <a:gd name="T5" fmla="*/ 16 h 18"/>
                <a:gd name="T6" fmla="*/ 1 w 12"/>
                <a:gd name="T7" fmla="*/ 18 h 18"/>
                <a:gd name="T8" fmla="*/ 12 w 12"/>
                <a:gd name="T9" fmla="*/ 3 h 18"/>
                <a:gd name="T10" fmla="*/ 1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1" y="1"/>
                  </a:move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lnTo>
                    <a:pt x="12" y="3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9" name="Freeform 42"/>
            <xdr:cNvSpPr>
              <a:spLocks/>
            </xdr:cNvSpPr>
          </xdr:nvSpPr>
          <xdr:spPr bwMode="auto">
            <a:xfrm>
              <a:off x="553" y="238"/>
              <a:ext cx="44" cy="4"/>
            </a:xfrm>
            <a:custGeom>
              <a:avLst/>
              <a:gdLst>
                <a:gd name="T0" fmla="*/ 44 w 44"/>
                <a:gd name="T1" fmla="*/ 1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1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0" name="Freeform 43"/>
            <xdr:cNvSpPr>
              <a:spLocks/>
            </xdr:cNvSpPr>
          </xdr:nvSpPr>
          <xdr:spPr bwMode="auto">
            <a:xfrm>
              <a:off x="552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1" name="Freeform 44"/>
            <xdr:cNvSpPr>
              <a:spLocks/>
            </xdr:cNvSpPr>
          </xdr:nvSpPr>
          <xdr:spPr bwMode="auto">
            <a:xfrm>
              <a:off x="618" y="248"/>
              <a:ext cx="11" cy="4"/>
            </a:xfrm>
            <a:custGeom>
              <a:avLst/>
              <a:gdLst>
                <a:gd name="T0" fmla="*/ 11 w 11"/>
                <a:gd name="T1" fmla="*/ 3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3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2" name="Freeform 45"/>
            <xdr:cNvSpPr>
              <a:spLocks/>
            </xdr:cNvSpPr>
          </xdr:nvSpPr>
          <xdr:spPr bwMode="auto">
            <a:xfrm>
              <a:off x="607" y="249"/>
              <a:ext cx="12" cy="20"/>
            </a:xfrm>
            <a:custGeom>
              <a:avLst/>
              <a:gdLst>
                <a:gd name="T0" fmla="*/ 1 w 12"/>
                <a:gd name="T1" fmla="*/ 18 h 20"/>
                <a:gd name="T2" fmla="*/ 2 w 12"/>
                <a:gd name="T3" fmla="*/ 20 h 20"/>
                <a:gd name="T4" fmla="*/ 12 w 12"/>
                <a:gd name="T5" fmla="*/ 3 h 20"/>
                <a:gd name="T6" fmla="*/ 10 w 12"/>
                <a:gd name="T7" fmla="*/ 0 h 20"/>
                <a:gd name="T8" fmla="*/ 0 w 12"/>
                <a:gd name="T9" fmla="*/ 16 h 20"/>
                <a:gd name="T10" fmla="*/ 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" y="18"/>
                  </a:moveTo>
                  <a:lnTo>
                    <a:pt x="2" y="20"/>
                  </a:lnTo>
                  <a:lnTo>
                    <a:pt x="12" y="3"/>
                  </a:ln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3" name="Freeform 46"/>
            <xdr:cNvSpPr>
              <a:spLocks/>
            </xdr:cNvSpPr>
          </xdr:nvSpPr>
          <xdr:spPr bwMode="auto">
            <a:xfrm>
              <a:off x="554" y="280"/>
              <a:ext cx="75" cy="5"/>
            </a:xfrm>
            <a:custGeom>
              <a:avLst/>
              <a:gdLst>
                <a:gd name="T0" fmla="*/ 0 w 75"/>
                <a:gd name="T1" fmla="*/ 2 h 5"/>
                <a:gd name="T2" fmla="*/ 0 w 75"/>
                <a:gd name="T3" fmla="*/ 5 h 5"/>
                <a:gd name="T4" fmla="*/ 75 w 75"/>
                <a:gd name="T5" fmla="*/ 5 h 5"/>
                <a:gd name="T6" fmla="*/ 75 w 75"/>
                <a:gd name="T7" fmla="*/ 0 h 5"/>
                <a:gd name="T8" fmla="*/ 0 w 75"/>
                <a:gd name="T9" fmla="*/ 0 h 5"/>
                <a:gd name="T10" fmla="*/ 0 w 75"/>
                <a:gd name="T11" fmla="*/ 2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5"/>
                <a:gd name="T20" fmla="*/ 75 w 7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5">
                  <a:moveTo>
                    <a:pt x="0" y="2"/>
                  </a:moveTo>
                  <a:lnTo>
                    <a:pt x="0" y="5"/>
                  </a:lnTo>
                  <a:lnTo>
                    <a:pt x="75" y="5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4" name="Freeform 47"/>
            <xdr:cNvSpPr>
              <a:spLocks/>
            </xdr:cNvSpPr>
          </xdr:nvSpPr>
          <xdr:spPr bwMode="auto">
            <a:xfrm>
              <a:off x="628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5" name="Freeform 48"/>
            <xdr:cNvSpPr>
              <a:spLocks/>
            </xdr:cNvSpPr>
          </xdr:nvSpPr>
          <xdr:spPr bwMode="auto">
            <a:xfrm>
              <a:off x="597" y="249"/>
              <a:ext cx="12" cy="20"/>
            </a:xfrm>
            <a:custGeom>
              <a:avLst/>
              <a:gdLst>
                <a:gd name="T0" fmla="*/ 11 w 12"/>
                <a:gd name="T1" fmla="*/ 18 h 20"/>
                <a:gd name="T2" fmla="*/ 12 w 12"/>
                <a:gd name="T3" fmla="*/ 16 h 20"/>
                <a:gd name="T4" fmla="*/ 1 w 12"/>
                <a:gd name="T5" fmla="*/ 0 h 20"/>
                <a:gd name="T6" fmla="*/ 0 w 12"/>
                <a:gd name="T7" fmla="*/ 3 h 20"/>
                <a:gd name="T8" fmla="*/ 10 w 12"/>
                <a:gd name="T9" fmla="*/ 20 h 20"/>
                <a:gd name="T10" fmla="*/ 1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1" y="18"/>
                  </a:moveTo>
                  <a:lnTo>
                    <a:pt x="12" y="16"/>
                  </a:lnTo>
                  <a:lnTo>
                    <a:pt x="1" y="0"/>
                  </a:lnTo>
                  <a:lnTo>
                    <a:pt x="0" y="3"/>
                  </a:lnTo>
                  <a:lnTo>
                    <a:pt x="10" y="20"/>
                  </a:lnTo>
                  <a:lnTo>
                    <a:pt x="1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6" name="Freeform 49"/>
            <xdr:cNvSpPr>
              <a:spLocks/>
            </xdr:cNvSpPr>
          </xdr:nvSpPr>
          <xdr:spPr bwMode="auto">
            <a:xfrm>
              <a:off x="553" y="248"/>
              <a:ext cx="44" cy="4"/>
            </a:xfrm>
            <a:custGeom>
              <a:avLst/>
              <a:gdLst>
                <a:gd name="T0" fmla="*/ 44 w 44"/>
                <a:gd name="T1" fmla="*/ 3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3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7" name="Freeform 50"/>
            <xdr:cNvSpPr>
              <a:spLocks/>
            </xdr:cNvSpPr>
          </xdr:nvSpPr>
          <xdr:spPr bwMode="auto">
            <a:xfrm>
              <a:off x="552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8" name="Oval 51"/>
            <xdr:cNvSpPr>
              <a:spLocks noChangeArrowheads="1"/>
            </xdr:cNvSpPr>
          </xdr:nvSpPr>
          <xdr:spPr bwMode="auto">
            <a:xfrm>
              <a:off x="603" y="233"/>
              <a:ext cx="9" cy="18"/>
            </a:xfrm>
            <a:prstGeom prst="ellipse">
              <a:avLst/>
            </a:prstGeom>
            <a:solidFill>
              <a:srgbClr val="A9A8A7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9" name="Freeform 52"/>
            <xdr:cNvSpPr>
              <a:spLocks/>
            </xdr:cNvSpPr>
          </xdr:nvSpPr>
          <xdr:spPr bwMode="auto">
            <a:xfrm>
              <a:off x="602" y="233"/>
              <a:ext cx="6" cy="9"/>
            </a:xfrm>
            <a:custGeom>
              <a:avLst/>
              <a:gdLst>
                <a:gd name="T0" fmla="*/ 2 w 6"/>
                <a:gd name="T1" fmla="*/ 9 h 9"/>
                <a:gd name="T2" fmla="*/ 2 w 6"/>
                <a:gd name="T3" fmla="*/ 9 h 9"/>
                <a:gd name="T4" fmla="*/ 2 w 6"/>
                <a:gd name="T5" fmla="*/ 7 h 9"/>
                <a:gd name="T6" fmla="*/ 2 w 6"/>
                <a:gd name="T7" fmla="*/ 6 h 9"/>
                <a:gd name="T8" fmla="*/ 2 w 6"/>
                <a:gd name="T9" fmla="*/ 5 h 9"/>
                <a:gd name="T10" fmla="*/ 2 w 6"/>
                <a:gd name="T11" fmla="*/ 3 h 9"/>
                <a:gd name="T12" fmla="*/ 3 w 6"/>
                <a:gd name="T13" fmla="*/ 3 h 9"/>
                <a:gd name="T14" fmla="*/ 4 w 6"/>
                <a:gd name="T15" fmla="*/ 2 h 9"/>
                <a:gd name="T16" fmla="*/ 5 w 6"/>
                <a:gd name="T17" fmla="*/ 2 h 9"/>
                <a:gd name="T18" fmla="*/ 6 w 6"/>
                <a:gd name="T19" fmla="*/ 2 h 9"/>
                <a:gd name="T20" fmla="*/ 6 w 6"/>
                <a:gd name="T21" fmla="*/ 0 h 9"/>
                <a:gd name="T22" fmla="*/ 4 w 6"/>
                <a:gd name="T23" fmla="*/ 0 h 9"/>
                <a:gd name="T24" fmla="*/ 3 w 6"/>
                <a:gd name="T25" fmla="*/ 0 h 9"/>
                <a:gd name="T26" fmla="*/ 2 w 6"/>
                <a:gd name="T27" fmla="*/ 2 h 9"/>
                <a:gd name="T28" fmla="*/ 2 w 6"/>
                <a:gd name="T29" fmla="*/ 2 h 9"/>
                <a:gd name="T30" fmla="*/ 2 w 6"/>
                <a:gd name="T31" fmla="*/ 3 h 9"/>
                <a:gd name="T32" fmla="*/ 1 w 6"/>
                <a:gd name="T33" fmla="*/ 5 h 9"/>
                <a:gd name="T34" fmla="*/ 1 w 6"/>
                <a:gd name="T35" fmla="*/ 7 h 9"/>
                <a:gd name="T36" fmla="*/ 0 w 6"/>
                <a:gd name="T37" fmla="*/ 9 h 9"/>
                <a:gd name="T38" fmla="*/ 0 w 6"/>
                <a:gd name="T39" fmla="*/ 9 h 9"/>
                <a:gd name="T40" fmla="*/ 2 w 6"/>
                <a:gd name="T41" fmla="*/ 9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2" y="9"/>
                  </a:moveTo>
                  <a:lnTo>
                    <a:pt x="2" y="9"/>
                  </a:lnTo>
                  <a:lnTo>
                    <a:pt x="2" y="7"/>
                  </a:lnTo>
                  <a:lnTo>
                    <a:pt x="2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2" y="9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0" name="Freeform 53"/>
            <xdr:cNvSpPr>
              <a:spLocks/>
            </xdr:cNvSpPr>
          </xdr:nvSpPr>
          <xdr:spPr bwMode="auto">
            <a:xfrm>
              <a:off x="602" y="242"/>
              <a:ext cx="6" cy="9"/>
            </a:xfrm>
            <a:custGeom>
              <a:avLst/>
              <a:gdLst>
                <a:gd name="T0" fmla="*/ 6 w 6"/>
                <a:gd name="T1" fmla="*/ 7 h 9"/>
                <a:gd name="T2" fmla="*/ 6 w 6"/>
                <a:gd name="T3" fmla="*/ 7 h 9"/>
                <a:gd name="T4" fmla="*/ 5 w 6"/>
                <a:gd name="T5" fmla="*/ 7 h 9"/>
                <a:gd name="T6" fmla="*/ 4 w 6"/>
                <a:gd name="T7" fmla="*/ 7 h 9"/>
                <a:gd name="T8" fmla="*/ 3 w 6"/>
                <a:gd name="T9" fmla="*/ 6 h 9"/>
                <a:gd name="T10" fmla="*/ 2 w 6"/>
                <a:gd name="T11" fmla="*/ 4 h 9"/>
                <a:gd name="T12" fmla="*/ 2 w 6"/>
                <a:gd name="T13" fmla="*/ 4 h 9"/>
                <a:gd name="T14" fmla="*/ 2 w 6"/>
                <a:gd name="T15" fmla="*/ 3 h 9"/>
                <a:gd name="T16" fmla="*/ 2 w 6"/>
                <a:gd name="T17" fmla="*/ 1 h 9"/>
                <a:gd name="T18" fmla="*/ 2 w 6"/>
                <a:gd name="T19" fmla="*/ 0 h 9"/>
                <a:gd name="T20" fmla="*/ 0 w 6"/>
                <a:gd name="T21" fmla="*/ 0 h 9"/>
                <a:gd name="T22" fmla="*/ 1 w 6"/>
                <a:gd name="T23" fmla="*/ 1 h 9"/>
                <a:gd name="T24" fmla="*/ 1 w 6"/>
                <a:gd name="T25" fmla="*/ 3 h 9"/>
                <a:gd name="T26" fmla="*/ 2 w 6"/>
                <a:gd name="T27" fmla="*/ 6 h 9"/>
                <a:gd name="T28" fmla="*/ 2 w 6"/>
                <a:gd name="T29" fmla="*/ 6 h 9"/>
                <a:gd name="T30" fmla="*/ 2 w 6"/>
                <a:gd name="T31" fmla="*/ 7 h 9"/>
                <a:gd name="T32" fmla="*/ 3 w 6"/>
                <a:gd name="T33" fmla="*/ 9 h 9"/>
                <a:gd name="T34" fmla="*/ 4 w 6"/>
                <a:gd name="T35" fmla="*/ 9 h 9"/>
                <a:gd name="T36" fmla="*/ 6 w 6"/>
                <a:gd name="T37" fmla="*/ 9 h 9"/>
                <a:gd name="T38" fmla="*/ 6 w 6"/>
                <a:gd name="T39" fmla="*/ 9 h 9"/>
                <a:gd name="T40" fmla="*/ 6 w 6"/>
                <a:gd name="T41" fmla="*/ 7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6" y="7"/>
                  </a:moveTo>
                  <a:lnTo>
                    <a:pt x="6" y="7"/>
                  </a:lnTo>
                  <a:lnTo>
                    <a:pt x="5" y="7"/>
                  </a:lnTo>
                  <a:lnTo>
                    <a:pt x="4" y="7"/>
                  </a:lnTo>
                  <a:lnTo>
                    <a:pt x="3" y="6"/>
                  </a:lnTo>
                  <a:lnTo>
                    <a:pt x="2" y="4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1" y="1"/>
                  </a:lnTo>
                  <a:lnTo>
                    <a:pt x="1" y="3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6" y="9"/>
                  </a:lnTo>
                  <a:lnTo>
                    <a:pt x="6" y="7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1" name="Freeform 54"/>
            <xdr:cNvSpPr>
              <a:spLocks/>
            </xdr:cNvSpPr>
          </xdr:nvSpPr>
          <xdr:spPr bwMode="auto">
            <a:xfrm>
              <a:off x="608" y="242"/>
              <a:ext cx="5" cy="9"/>
            </a:xfrm>
            <a:custGeom>
              <a:avLst/>
              <a:gdLst>
                <a:gd name="T0" fmla="*/ 4 w 5"/>
                <a:gd name="T1" fmla="*/ 0 h 9"/>
                <a:gd name="T2" fmla="*/ 4 w 5"/>
                <a:gd name="T3" fmla="*/ 0 h 9"/>
                <a:gd name="T4" fmla="*/ 3 w 5"/>
                <a:gd name="T5" fmla="*/ 1 h 9"/>
                <a:gd name="T6" fmla="*/ 3 w 5"/>
                <a:gd name="T7" fmla="*/ 3 h 9"/>
                <a:gd name="T8" fmla="*/ 3 w 5"/>
                <a:gd name="T9" fmla="*/ 4 h 9"/>
                <a:gd name="T10" fmla="*/ 3 w 5"/>
                <a:gd name="T11" fmla="*/ 4 h 9"/>
                <a:gd name="T12" fmla="*/ 2 w 5"/>
                <a:gd name="T13" fmla="*/ 6 h 9"/>
                <a:gd name="T14" fmla="*/ 2 w 5"/>
                <a:gd name="T15" fmla="*/ 7 h 9"/>
                <a:gd name="T16" fmla="*/ 1 w 5"/>
                <a:gd name="T17" fmla="*/ 7 h 9"/>
                <a:gd name="T18" fmla="*/ 0 w 5"/>
                <a:gd name="T19" fmla="*/ 7 h 9"/>
                <a:gd name="T20" fmla="*/ 0 w 5"/>
                <a:gd name="T21" fmla="*/ 9 h 9"/>
                <a:gd name="T22" fmla="*/ 1 w 5"/>
                <a:gd name="T23" fmla="*/ 9 h 9"/>
                <a:gd name="T24" fmla="*/ 2 w 5"/>
                <a:gd name="T25" fmla="*/ 9 h 9"/>
                <a:gd name="T26" fmla="*/ 3 w 5"/>
                <a:gd name="T27" fmla="*/ 7 h 9"/>
                <a:gd name="T28" fmla="*/ 3 w 5"/>
                <a:gd name="T29" fmla="*/ 6 h 9"/>
                <a:gd name="T30" fmla="*/ 4 w 5"/>
                <a:gd name="T31" fmla="*/ 6 h 9"/>
                <a:gd name="T32" fmla="*/ 4 w 5"/>
                <a:gd name="T33" fmla="*/ 3 h 9"/>
                <a:gd name="T34" fmla="*/ 5 w 5"/>
                <a:gd name="T35" fmla="*/ 1 h 9"/>
                <a:gd name="T36" fmla="*/ 5 w 5"/>
                <a:gd name="T37" fmla="*/ 0 h 9"/>
                <a:gd name="T38" fmla="*/ 5 w 5"/>
                <a:gd name="T39" fmla="*/ 0 h 9"/>
                <a:gd name="T40" fmla="*/ 4 w 5"/>
                <a:gd name="T41" fmla="*/ 0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3" y="4"/>
                  </a:lnTo>
                  <a:lnTo>
                    <a:pt x="2" y="6"/>
                  </a:lnTo>
                  <a:lnTo>
                    <a:pt x="2" y="7"/>
                  </a:lnTo>
                  <a:lnTo>
                    <a:pt x="1" y="7"/>
                  </a:lnTo>
                  <a:lnTo>
                    <a:pt x="0" y="7"/>
                  </a:lnTo>
                  <a:lnTo>
                    <a:pt x="0" y="9"/>
                  </a:lnTo>
                  <a:lnTo>
                    <a:pt x="1" y="9"/>
                  </a:lnTo>
                  <a:lnTo>
                    <a:pt x="2" y="9"/>
                  </a:lnTo>
                  <a:lnTo>
                    <a:pt x="3" y="7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3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2" name="Freeform 55"/>
            <xdr:cNvSpPr>
              <a:spLocks/>
            </xdr:cNvSpPr>
          </xdr:nvSpPr>
          <xdr:spPr bwMode="auto">
            <a:xfrm>
              <a:off x="608" y="233"/>
              <a:ext cx="5" cy="9"/>
            </a:xfrm>
            <a:custGeom>
              <a:avLst/>
              <a:gdLst>
                <a:gd name="T0" fmla="*/ 0 w 5"/>
                <a:gd name="T1" fmla="*/ 2 h 9"/>
                <a:gd name="T2" fmla="*/ 0 w 5"/>
                <a:gd name="T3" fmla="*/ 2 h 9"/>
                <a:gd name="T4" fmla="*/ 1 w 5"/>
                <a:gd name="T5" fmla="*/ 2 h 9"/>
                <a:gd name="T6" fmla="*/ 2 w 5"/>
                <a:gd name="T7" fmla="*/ 2 h 9"/>
                <a:gd name="T8" fmla="*/ 2 w 5"/>
                <a:gd name="T9" fmla="*/ 3 h 9"/>
                <a:gd name="T10" fmla="*/ 3 w 5"/>
                <a:gd name="T11" fmla="*/ 3 h 9"/>
                <a:gd name="T12" fmla="*/ 3 w 5"/>
                <a:gd name="T13" fmla="*/ 5 h 9"/>
                <a:gd name="T14" fmla="*/ 3 w 5"/>
                <a:gd name="T15" fmla="*/ 6 h 9"/>
                <a:gd name="T16" fmla="*/ 3 w 5"/>
                <a:gd name="T17" fmla="*/ 7 h 9"/>
                <a:gd name="T18" fmla="*/ 4 w 5"/>
                <a:gd name="T19" fmla="*/ 9 h 9"/>
                <a:gd name="T20" fmla="*/ 5 w 5"/>
                <a:gd name="T21" fmla="*/ 9 h 9"/>
                <a:gd name="T22" fmla="*/ 5 w 5"/>
                <a:gd name="T23" fmla="*/ 7 h 9"/>
                <a:gd name="T24" fmla="*/ 4 w 5"/>
                <a:gd name="T25" fmla="*/ 5 h 9"/>
                <a:gd name="T26" fmla="*/ 4 w 5"/>
                <a:gd name="T27" fmla="*/ 3 h 9"/>
                <a:gd name="T28" fmla="*/ 3 w 5"/>
                <a:gd name="T29" fmla="*/ 2 h 9"/>
                <a:gd name="T30" fmla="*/ 3 w 5"/>
                <a:gd name="T31" fmla="*/ 2 h 9"/>
                <a:gd name="T32" fmla="*/ 2 w 5"/>
                <a:gd name="T33" fmla="*/ 0 h 9"/>
                <a:gd name="T34" fmla="*/ 1 w 5"/>
                <a:gd name="T35" fmla="*/ 0 h 9"/>
                <a:gd name="T36" fmla="*/ 0 w 5"/>
                <a:gd name="T37" fmla="*/ 0 h 9"/>
                <a:gd name="T38" fmla="*/ 0 w 5"/>
                <a:gd name="T39" fmla="*/ 0 h 9"/>
                <a:gd name="T40" fmla="*/ 0 w 5"/>
                <a:gd name="T41" fmla="*/ 2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0" y="2"/>
                  </a:moveTo>
                  <a:lnTo>
                    <a:pt x="0" y="2"/>
                  </a:lnTo>
                  <a:lnTo>
                    <a:pt x="1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3" y="3"/>
                  </a:lnTo>
                  <a:lnTo>
                    <a:pt x="3" y="5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  <xdr:twoCellAnchor>
    <xdr:from>
      <xdr:col>8</xdr:col>
      <xdr:colOff>838200</xdr:colOff>
      <xdr:row>0</xdr:row>
      <xdr:rowOff>19050</xdr:rowOff>
    </xdr:from>
    <xdr:to>
      <xdr:col>9</xdr:col>
      <xdr:colOff>825501</xdr:colOff>
      <xdr:row>4</xdr:row>
      <xdr:rowOff>82550</xdr:rowOff>
    </xdr:to>
    <xdr:sp macro="" textlink="">
      <xdr:nvSpPr>
        <xdr:cNvPr id="53" name="52 CuadroTexto"/>
        <xdr:cNvSpPr txBox="1"/>
      </xdr:nvSpPr>
      <xdr:spPr>
        <a:xfrm>
          <a:off x="8429625" y="19050"/>
          <a:ext cx="835026" cy="7493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200"/>
            <a:t>ORIGINAL</a:t>
          </a:r>
        </a:p>
        <a:p>
          <a:pPr algn="ctr"/>
          <a:endParaRPr lang="es-AR" sz="1200"/>
        </a:p>
        <a:p>
          <a:pPr algn="ctr"/>
          <a:endParaRPr lang="es-AR" sz="1200"/>
        </a:p>
        <a:p>
          <a:pPr algn="ctr"/>
          <a:r>
            <a:rPr lang="es-AR" sz="1200"/>
            <a:t>FOLIO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21</xdr:row>
      <xdr:rowOff>0</xdr:rowOff>
    </xdr:from>
    <xdr:to>
      <xdr:col>6</xdr:col>
      <xdr:colOff>66675</xdr:colOff>
      <xdr:row>21</xdr:row>
      <xdr:rowOff>1</xdr:rowOff>
    </xdr:to>
    <xdr:cxnSp macro="">
      <xdr:nvCxnSpPr>
        <xdr:cNvPr id="54" name="53 Conector recto"/>
        <xdr:cNvCxnSpPr/>
      </xdr:nvCxnSpPr>
      <xdr:spPr>
        <a:xfrm flipV="1">
          <a:off x="4714875" y="3924300"/>
          <a:ext cx="1047750" cy="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0</xdr:row>
      <xdr:rowOff>76200</xdr:rowOff>
    </xdr:from>
    <xdr:to>
      <xdr:col>4</xdr:col>
      <xdr:colOff>430003</xdr:colOff>
      <xdr:row>4</xdr:row>
      <xdr:rowOff>166687</xdr:rowOff>
    </xdr:to>
    <xdr:grpSp>
      <xdr:nvGrpSpPr>
        <xdr:cNvPr id="55" name="Group 5"/>
        <xdr:cNvGrpSpPr>
          <a:grpSpLocks/>
        </xdr:cNvGrpSpPr>
      </xdr:nvGrpSpPr>
      <xdr:grpSpPr bwMode="auto">
        <a:xfrm>
          <a:off x="57150" y="76200"/>
          <a:ext cx="4563853" cy="776287"/>
          <a:chOff x="112" y="156"/>
          <a:chExt cx="519" cy="129"/>
        </a:xfrm>
      </xdr:grpSpPr>
      <xdr:sp macro="" textlink="">
        <xdr:nvSpPr>
          <xdr:cNvPr id="56" name="Text Box 6"/>
          <xdr:cNvSpPr txBox="1">
            <a:spLocks noChangeArrowheads="1"/>
          </xdr:cNvSpPr>
        </xdr:nvSpPr>
        <xdr:spPr bwMode="auto">
          <a:xfrm>
            <a:off x="112" y="196"/>
            <a:ext cx="458" cy="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Av. Alvear N° 1448 - Esquel - Chubut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Tel/Fax (02945)451003 E-Mail: administracionpasquini@speedy.com.ar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C.U.I.T 30-67034174-3 L.C. N° 03117 I.B. 01091  I.E.R.I.C. N° 73589 4</a:t>
            </a:r>
          </a:p>
          <a:p>
            <a:pPr algn="l" rtl="1">
              <a:defRPr sz="1000"/>
            </a:pPr>
            <a:endParaRPr lang="es-AR" sz="1000" b="1" i="0" strike="noStrike">
              <a:solidFill>
                <a:srgbClr val="000000"/>
              </a:solidFill>
              <a:latin typeface="Swis721 Ex BT"/>
            </a:endParaRPr>
          </a:p>
        </xdr:txBody>
      </xdr:sp>
      <xdr:grpSp>
        <xdr:nvGrpSpPr>
          <xdr:cNvPr id="57" name="Group 7"/>
          <xdr:cNvGrpSpPr>
            <a:grpSpLocks/>
          </xdr:cNvGrpSpPr>
        </xdr:nvGrpSpPr>
        <xdr:grpSpPr bwMode="auto">
          <a:xfrm>
            <a:off x="116" y="156"/>
            <a:ext cx="515" cy="129"/>
            <a:chOff x="116" y="156"/>
            <a:chExt cx="515" cy="129"/>
          </a:xfrm>
        </xdr:grpSpPr>
        <xdr:sp macro="" textlink="">
          <xdr:nvSpPr>
            <xdr:cNvPr id="58" name="Freeform 8"/>
            <xdr:cNvSpPr>
              <a:spLocks noEditPoints="1"/>
            </xdr:cNvSpPr>
          </xdr:nvSpPr>
          <xdr:spPr bwMode="auto">
            <a:xfrm>
              <a:off x="11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9 w 21"/>
                <a:gd name="T5" fmla="*/ 24 h 25"/>
                <a:gd name="T6" fmla="*/ 10 w 21"/>
                <a:gd name="T7" fmla="*/ 25 h 25"/>
                <a:gd name="T8" fmla="*/ 0 w 21"/>
                <a:gd name="T9" fmla="*/ 24 h 25"/>
                <a:gd name="T10" fmla="*/ 1 w 21"/>
                <a:gd name="T11" fmla="*/ 24 h 25"/>
                <a:gd name="T12" fmla="*/ 3 w 21"/>
                <a:gd name="T13" fmla="*/ 24 h 25"/>
                <a:gd name="T14" fmla="*/ 3 w 21"/>
                <a:gd name="T15" fmla="*/ 21 h 25"/>
                <a:gd name="T16" fmla="*/ 8 w 21"/>
                <a:gd name="T17" fmla="*/ 3 h 25"/>
                <a:gd name="T18" fmla="*/ 7 w 21"/>
                <a:gd name="T19" fmla="*/ 2 h 25"/>
                <a:gd name="T20" fmla="*/ 6 w 21"/>
                <a:gd name="T21" fmla="*/ 0 h 25"/>
                <a:gd name="T22" fmla="*/ 15 w 21"/>
                <a:gd name="T23" fmla="*/ 0 h 25"/>
                <a:gd name="T24" fmla="*/ 16 w 21"/>
                <a:gd name="T25" fmla="*/ 0 h 25"/>
                <a:gd name="T26" fmla="*/ 18 w 21"/>
                <a:gd name="T27" fmla="*/ 2 h 25"/>
                <a:gd name="T28" fmla="*/ 19 w 21"/>
                <a:gd name="T29" fmla="*/ 3 h 25"/>
                <a:gd name="T30" fmla="*/ 20 w 21"/>
                <a:gd name="T31" fmla="*/ 5 h 25"/>
                <a:gd name="T32" fmla="*/ 21 w 21"/>
                <a:gd name="T33" fmla="*/ 6 h 25"/>
                <a:gd name="T34" fmla="*/ 21 w 21"/>
                <a:gd name="T35" fmla="*/ 9 h 25"/>
                <a:gd name="T36" fmla="*/ 20 w 21"/>
                <a:gd name="T37" fmla="*/ 11 h 25"/>
                <a:gd name="T38" fmla="*/ 19 w 21"/>
                <a:gd name="T39" fmla="*/ 12 h 25"/>
                <a:gd name="T40" fmla="*/ 17 w 21"/>
                <a:gd name="T41" fmla="*/ 13 h 25"/>
                <a:gd name="T42" fmla="*/ 15 w 21"/>
                <a:gd name="T43" fmla="*/ 13 h 25"/>
                <a:gd name="T44" fmla="*/ 14 w 21"/>
                <a:gd name="T45" fmla="*/ 13 h 25"/>
                <a:gd name="T46" fmla="*/ 12 w 21"/>
                <a:gd name="T47" fmla="*/ 13 h 25"/>
                <a:gd name="T48" fmla="*/ 10 w 21"/>
                <a:gd name="T49" fmla="*/ 13 h 25"/>
                <a:gd name="T50" fmla="*/ 10 w 21"/>
                <a:gd name="T51" fmla="*/ 13 h 25"/>
                <a:gd name="T52" fmla="*/ 12 w 21"/>
                <a:gd name="T53" fmla="*/ 13 h 25"/>
                <a:gd name="T54" fmla="*/ 14 w 21"/>
                <a:gd name="T55" fmla="*/ 12 h 25"/>
                <a:gd name="T56" fmla="*/ 15 w 21"/>
                <a:gd name="T57" fmla="*/ 11 h 25"/>
                <a:gd name="T58" fmla="*/ 16 w 21"/>
                <a:gd name="T59" fmla="*/ 8 h 25"/>
                <a:gd name="T60" fmla="*/ 16 w 21"/>
                <a:gd name="T61" fmla="*/ 5 h 25"/>
                <a:gd name="T62" fmla="*/ 15 w 21"/>
                <a:gd name="T63" fmla="*/ 2 h 25"/>
                <a:gd name="T64" fmla="*/ 14 w 21"/>
                <a:gd name="T65" fmla="*/ 2 h 25"/>
                <a:gd name="T66" fmla="*/ 10 w 21"/>
                <a:gd name="T67" fmla="*/ 13 h 25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1"/>
                <a:gd name="T103" fmla="*/ 0 h 25"/>
                <a:gd name="T104" fmla="*/ 21 w 21"/>
                <a:gd name="T105" fmla="*/ 25 h 25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1" h="25">
                  <a:moveTo>
                    <a:pt x="9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8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lnTo>
                    <a:pt x="9" y="13"/>
                  </a:lnTo>
                  <a:close/>
                  <a:moveTo>
                    <a:pt x="10" y="13"/>
                  </a:moveTo>
                  <a:lnTo>
                    <a:pt x="11" y="13"/>
                  </a:lnTo>
                  <a:lnTo>
                    <a:pt x="12" y="13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3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59" name="Freeform 9"/>
            <xdr:cNvSpPr>
              <a:spLocks noEditPoints="1"/>
            </xdr:cNvSpPr>
          </xdr:nvSpPr>
          <xdr:spPr bwMode="auto">
            <a:xfrm>
              <a:off x="133" y="156"/>
              <a:ext cx="20" cy="25"/>
            </a:xfrm>
            <a:custGeom>
              <a:avLst/>
              <a:gdLst>
                <a:gd name="T0" fmla="*/ 14 w 20"/>
                <a:gd name="T1" fmla="*/ 16 h 25"/>
                <a:gd name="T2" fmla="*/ 7 w 20"/>
                <a:gd name="T3" fmla="*/ 16 h 25"/>
                <a:gd name="T4" fmla="*/ 6 w 20"/>
                <a:gd name="T5" fmla="*/ 19 h 25"/>
                <a:gd name="T6" fmla="*/ 4 w 20"/>
                <a:gd name="T7" fmla="*/ 21 h 25"/>
                <a:gd name="T8" fmla="*/ 3 w 20"/>
                <a:gd name="T9" fmla="*/ 22 h 25"/>
                <a:gd name="T10" fmla="*/ 3 w 20"/>
                <a:gd name="T11" fmla="*/ 24 h 25"/>
                <a:gd name="T12" fmla="*/ 4 w 20"/>
                <a:gd name="T13" fmla="*/ 24 h 25"/>
                <a:gd name="T14" fmla="*/ 5 w 20"/>
                <a:gd name="T15" fmla="*/ 24 h 25"/>
                <a:gd name="T16" fmla="*/ 5 w 20"/>
                <a:gd name="T17" fmla="*/ 25 h 25"/>
                <a:gd name="T18" fmla="*/ 0 w 20"/>
                <a:gd name="T19" fmla="*/ 25 h 25"/>
                <a:gd name="T20" fmla="*/ 0 w 20"/>
                <a:gd name="T21" fmla="*/ 24 h 25"/>
                <a:gd name="T22" fmla="*/ 0 w 20"/>
                <a:gd name="T23" fmla="*/ 24 h 25"/>
                <a:gd name="T24" fmla="*/ 1 w 20"/>
                <a:gd name="T25" fmla="*/ 24 h 25"/>
                <a:gd name="T26" fmla="*/ 2 w 20"/>
                <a:gd name="T27" fmla="*/ 22 h 25"/>
                <a:gd name="T28" fmla="*/ 3 w 20"/>
                <a:gd name="T29" fmla="*/ 21 h 25"/>
                <a:gd name="T30" fmla="*/ 17 w 20"/>
                <a:gd name="T31" fmla="*/ 0 h 25"/>
                <a:gd name="T32" fmla="*/ 18 w 20"/>
                <a:gd name="T33" fmla="*/ 0 h 25"/>
                <a:gd name="T34" fmla="*/ 18 w 20"/>
                <a:gd name="T35" fmla="*/ 19 h 25"/>
                <a:gd name="T36" fmla="*/ 18 w 20"/>
                <a:gd name="T37" fmla="*/ 21 h 25"/>
                <a:gd name="T38" fmla="*/ 18 w 20"/>
                <a:gd name="T39" fmla="*/ 22 h 25"/>
                <a:gd name="T40" fmla="*/ 18 w 20"/>
                <a:gd name="T41" fmla="*/ 24 h 25"/>
                <a:gd name="T42" fmla="*/ 19 w 20"/>
                <a:gd name="T43" fmla="*/ 24 h 25"/>
                <a:gd name="T44" fmla="*/ 20 w 20"/>
                <a:gd name="T45" fmla="*/ 24 h 25"/>
                <a:gd name="T46" fmla="*/ 20 w 20"/>
                <a:gd name="T47" fmla="*/ 25 h 25"/>
                <a:gd name="T48" fmla="*/ 11 w 20"/>
                <a:gd name="T49" fmla="*/ 25 h 25"/>
                <a:gd name="T50" fmla="*/ 11 w 20"/>
                <a:gd name="T51" fmla="*/ 24 h 25"/>
                <a:gd name="T52" fmla="*/ 12 w 20"/>
                <a:gd name="T53" fmla="*/ 24 h 25"/>
                <a:gd name="T54" fmla="*/ 13 w 20"/>
                <a:gd name="T55" fmla="*/ 24 h 25"/>
                <a:gd name="T56" fmla="*/ 14 w 20"/>
                <a:gd name="T57" fmla="*/ 24 h 25"/>
                <a:gd name="T58" fmla="*/ 14 w 20"/>
                <a:gd name="T59" fmla="*/ 22 h 25"/>
                <a:gd name="T60" fmla="*/ 14 w 20"/>
                <a:gd name="T61" fmla="*/ 21 h 25"/>
                <a:gd name="T62" fmla="*/ 14 w 20"/>
                <a:gd name="T63" fmla="*/ 16 h 25"/>
                <a:gd name="T64" fmla="*/ 14 w 20"/>
                <a:gd name="T65" fmla="*/ 16 h 25"/>
                <a:gd name="T66" fmla="*/ 14 w 20"/>
                <a:gd name="T67" fmla="*/ 8 h 25"/>
                <a:gd name="T68" fmla="*/ 7 w 20"/>
                <a:gd name="T69" fmla="*/ 16 h 25"/>
                <a:gd name="T70" fmla="*/ 14 w 20"/>
                <a:gd name="T71" fmla="*/ 16 h 25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0"/>
                <a:gd name="T109" fmla="*/ 0 h 25"/>
                <a:gd name="T110" fmla="*/ 20 w 20"/>
                <a:gd name="T111" fmla="*/ 25 h 25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0" h="25">
                  <a:moveTo>
                    <a:pt x="14" y="16"/>
                  </a:moveTo>
                  <a:lnTo>
                    <a:pt x="7" y="16"/>
                  </a:lnTo>
                  <a:lnTo>
                    <a:pt x="6" y="19"/>
                  </a:lnTo>
                  <a:lnTo>
                    <a:pt x="4" y="21"/>
                  </a:lnTo>
                  <a:lnTo>
                    <a:pt x="3" y="22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5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2"/>
                  </a:lnTo>
                  <a:lnTo>
                    <a:pt x="3" y="21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8" y="19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0" y="25"/>
                  </a:lnTo>
                  <a:lnTo>
                    <a:pt x="11" y="25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4" y="22"/>
                  </a:lnTo>
                  <a:lnTo>
                    <a:pt x="14" y="21"/>
                  </a:lnTo>
                  <a:lnTo>
                    <a:pt x="14" y="16"/>
                  </a:lnTo>
                  <a:close/>
                  <a:moveTo>
                    <a:pt x="14" y="16"/>
                  </a:moveTo>
                  <a:lnTo>
                    <a:pt x="14" y="8"/>
                  </a:lnTo>
                  <a:lnTo>
                    <a:pt x="7" y="16"/>
                  </a:lnTo>
                  <a:lnTo>
                    <a:pt x="14" y="16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0" name="Freeform 10"/>
            <xdr:cNvSpPr>
              <a:spLocks/>
            </xdr:cNvSpPr>
          </xdr:nvSpPr>
          <xdr:spPr bwMode="auto">
            <a:xfrm>
              <a:off x="154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1" name="Freeform 11"/>
            <xdr:cNvSpPr>
              <a:spLocks noEditPoints="1"/>
            </xdr:cNvSpPr>
          </xdr:nvSpPr>
          <xdr:spPr bwMode="auto">
            <a:xfrm>
              <a:off x="174" y="156"/>
              <a:ext cx="20" cy="32"/>
            </a:xfrm>
            <a:custGeom>
              <a:avLst/>
              <a:gdLst>
                <a:gd name="T0" fmla="*/ 5 w 20"/>
                <a:gd name="T1" fmla="*/ 27 h 32"/>
                <a:gd name="T2" fmla="*/ 8 w 20"/>
                <a:gd name="T3" fmla="*/ 27 h 32"/>
                <a:gd name="T4" fmla="*/ 10 w 20"/>
                <a:gd name="T5" fmla="*/ 27 h 32"/>
                <a:gd name="T6" fmla="*/ 12 w 20"/>
                <a:gd name="T7" fmla="*/ 29 h 32"/>
                <a:gd name="T8" fmla="*/ 15 w 20"/>
                <a:gd name="T9" fmla="*/ 29 h 32"/>
                <a:gd name="T10" fmla="*/ 17 w 20"/>
                <a:gd name="T11" fmla="*/ 28 h 32"/>
                <a:gd name="T12" fmla="*/ 19 w 20"/>
                <a:gd name="T13" fmla="*/ 27 h 32"/>
                <a:gd name="T14" fmla="*/ 18 w 20"/>
                <a:gd name="T15" fmla="*/ 29 h 32"/>
                <a:gd name="T16" fmla="*/ 16 w 20"/>
                <a:gd name="T17" fmla="*/ 31 h 32"/>
                <a:gd name="T18" fmla="*/ 14 w 20"/>
                <a:gd name="T19" fmla="*/ 32 h 32"/>
                <a:gd name="T20" fmla="*/ 11 w 20"/>
                <a:gd name="T21" fmla="*/ 32 h 32"/>
                <a:gd name="T22" fmla="*/ 8 w 20"/>
                <a:gd name="T23" fmla="*/ 32 h 32"/>
                <a:gd name="T24" fmla="*/ 7 w 20"/>
                <a:gd name="T25" fmla="*/ 31 h 32"/>
                <a:gd name="T26" fmla="*/ 5 w 20"/>
                <a:gd name="T27" fmla="*/ 29 h 32"/>
                <a:gd name="T28" fmla="*/ 2 w 20"/>
                <a:gd name="T29" fmla="*/ 29 h 32"/>
                <a:gd name="T30" fmla="*/ 0 w 20"/>
                <a:gd name="T31" fmla="*/ 29 h 32"/>
                <a:gd name="T32" fmla="*/ 4 w 20"/>
                <a:gd name="T33" fmla="*/ 24 h 32"/>
                <a:gd name="T34" fmla="*/ 1 w 20"/>
                <a:gd name="T35" fmla="*/ 24 h 32"/>
                <a:gd name="T36" fmla="*/ 1 w 20"/>
                <a:gd name="T37" fmla="*/ 21 h 32"/>
                <a:gd name="T38" fmla="*/ 0 w 20"/>
                <a:gd name="T39" fmla="*/ 16 h 32"/>
                <a:gd name="T40" fmla="*/ 1 w 20"/>
                <a:gd name="T41" fmla="*/ 12 h 32"/>
                <a:gd name="T42" fmla="*/ 2 w 20"/>
                <a:gd name="T43" fmla="*/ 8 h 32"/>
                <a:gd name="T44" fmla="*/ 4 w 20"/>
                <a:gd name="T45" fmla="*/ 5 h 32"/>
                <a:gd name="T46" fmla="*/ 7 w 20"/>
                <a:gd name="T47" fmla="*/ 2 h 32"/>
                <a:gd name="T48" fmla="*/ 9 w 20"/>
                <a:gd name="T49" fmla="*/ 0 h 32"/>
                <a:gd name="T50" fmla="*/ 12 w 20"/>
                <a:gd name="T51" fmla="*/ 0 h 32"/>
                <a:gd name="T52" fmla="*/ 15 w 20"/>
                <a:gd name="T53" fmla="*/ 0 h 32"/>
                <a:gd name="T54" fmla="*/ 17 w 20"/>
                <a:gd name="T55" fmla="*/ 2 h 32"/>
                <a:gd name="T56" fmla="*/ 19 w 20"/>
                <a:gd name="T57" fmla="*/ 5 h 32"/>
                <a:gd name="T58" fmla="*/ 20 w 20"/>
                <a:gd name="T59" fmla="*/ 8 h 32"/>
                <a:gd name="T60" fmla="*/ 19 w 20"/>
                <a:gd name="T61" fmla="*/ 11 h 32"/>
                <a:gd name="T62" fmla="*/ 18 w 20"/>
                <a:gd name="T63" fmla="*/ 13 h 32"/>
                <a:gd name="T64" fmla="*/ 16 w 20"/>
                <a:gd name="T65" fmla="*/ 18 h 32"/>
                <a:gd name="T66" fmla="*/ 15 w 20"/>
                <a:gd name="T67" fmla="*/ 21 h 32"/>
                <a:gd name="T68" fmla="*/ 14 w 20"/>
                <a:gd name="T69" fmla="*/ 22 h 32"/>
                <a:gd name="T70" fmla="*/ 11 w 20"/>
                <a:gd name="T71" fmla="*/ 24 h 32"/>
                <a:gd name="T72" fmla="*/ 9 w 20"/>
                <a:gd name="T73" fmla="*/ 25 h 32"/>
                <a:gd name="T74" fmla="*/ 7 w 20"/>
                <a:gd name="T75" fmla="*/ 25 h 32"/>
                <a:gd name="T76" fmla="*/ 12 w 20"/>
                <a:gd name="T77" fmla="*/ 0 h 32"/>
                <a:gd name="T78" fmla="*/ 9 w 20"/>
                <a:gd name="T79" fmla="*/ 2 h 32"/>
                <a:gd name="T80" fmla="*/ 8 w 20"/>
                <a:gd name="T81" fmla="*/ 6 h 32"/>
                <a:gd name="T82" fmla="*/ 6 w 20"/>
                <a:gd name="T83" fmla="*/ 8 h 32"/>
                <a:gd name="T84" fmla="*/ 5 w 20"/>
                <a:gd name="T85" fmla="*/ 12 h 32"/>
                <a:gd name="T86" fmla="*/ 4 w 20"/>
                <a:gd name="T87" fmla="*/ 15 h 32"/>
                <a:gd name="T88" fmla="*/ 4 w 20"/>
                <a:gd name="T89" fmla="*/ 19 h 32"/>
                <a:gd name="T90" fmla="*/ 5 w 20"/>
                <a:gd name="T91" fmla="*/ 24 h 32"/>
                <a:gd name="T92" fmla="*/ 8 w 20"/>
                <a:gd name="T93" fmla="*/ 24 h 32"/>
                <a:gd name="T94" fmla="*/ 10 w 20"/>
                <a:gd name="T95" fmla="*/ 24 h 32"/>
                <a:gd name="T96" fmla="*/ 12 w 20"/>
                <a:gd name="T97" fmla="*/ 21 h 32"/>
                <a:gd name="T98" fmla="*/ 13 w 20"/>
                <a:gd name="T99" fmla="*/ 16 h 32"/>
                <a:gd name="T100" fmla="*/ 15 w 20"/>
                <a:gd name="T101" fmla="*/ 13 h 32"/>
                <a:gd name="T102" fmla="*/ 15 w 20"/>
                <a:gd name="T103" fmla="*/ 9 h 32"/>
                <a:gd name="T104" fmla="*/ 15 w 20"/>
                <a:gd name="T105" fmla="*/ 5 h 32"/>
                <a:gd name="T106" fmla="*/ 15 w 20"/>
                <a:gd name="T107" fmla="*/ 0 h 32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20"/>
                <a:gd name="T163" fmla="*/ 0 h 32"/>
                <a:gd name="T164" fmla="*/ 20 w 20"/>
                <a:gd name="T165" fmla="*/ 32 h 32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20" h="32">
                  <a:moveTo>
                    <a:pt x="6" y="25"/>
                  </a:moveTo>
                  <a:lnTo>
                    <a:pt x="4" y="27"/>
                  </a:lnTo>
                  <a:lnTo>
                    <a:pt x="5" y="27"/>
                  </a:lnTo>
                  <a:lnTo>
                    <a:pt x="6" y="27"/>
                  </a:lnTo>
                  <a:lnTo>
                    <a:pt x="7" y="27"/>
                  </a:lnTo>
                  <a:lnTo>
                    <a:pt x="8" y="27"/>
                  </a:lnTo>
                  <a:lnTo>
                    <a:pt x="9" y="27"/>
                  </a:lnTo>
                  <a:lnTo>
                    <a:pt x="10" y="27"/>
                  </a:lnTo>
                  <a:lnTo>
                    <a:pt x="10" y="28"/>
                  </a:lnTo>
                  <a:lnTo>
                    <a:pt x="11" y="28"/>
                  </a:lnTo>
                  <a:lnTo>
                    <a:pt x="12" y="29"/>
                  </a:lnTo>
                  <a:lnTo>
                    <a:pt x="13" y="29"/>
                  </a:lnTo>
                  <a:lnTo>
                    <a:pt x="14" y="29"/>
                  </a:lnTo>
                  <a:lnTo>
                    <a:pt x="15" y="29"/>
                  </a:lnTo>
                  <a:lnTo>
                    <a:pt x="16" y="29"/>
                  </a:lnTo>
                  <a:lnTo>
                    <a:pt x="17" y="28"/>
                  </a:lnTo>
                  <a:lnTo>
                    <a:pt x="18" y="28"/>
                  </a:lnTo>
                  <a:lnTo>
                    <a:pt x="18" y="27"/>
                  </a:lnTo>
                  <a:lnTo>
                    <a:pt x="19" y="27"/>
                  </a:lnTo>
                  <a:lnTo>
                    <a:pt x="19" y="28"/>
                  </a:lnTo>
                  <a:lnTo>
                    <a:pt x="18" y="28"/>
                  </a:lnTo>
                  <a:lnTo>
                    <a:pt x="18" y="29"/>
                  </a:lnTo>
                  <a:lnTo>
                    <a:pt x="17" y="29"/>
                  </a:lnTo>
                  <a:lnTo>
                    <a:pt x="16" y="29"/>
                  </a:lnTo>
                  <a:lnTo>
                    <a:pt x="16" y="31"/>
                  </a:lnTo>
                  <a:lnTo>
                    <a:pt x="15" y="31"/>
                  </a:lnTo>
                  <a:lnTo>
                    <a:pt x="15" y="32"/>
                  </a:lnTo>
                  <a:lnTo>
                    <a:pt x="14" y="32"/>
                  </a:lnTo>
                  <a:lnTo>
                    <a:pt x="13" y="32"/>
                  </a:lnTo>
                  <a:lnTo>
                    <a:pt x="12" y="32"/>
                  </a:lnTo>
                  <a:lnTo>
                    <a:pt x="11" y="32"/>
                  </a:lnTo>
                  <a:lnTo>
                    <a:pt x="10" y="32"/>
                  </a:lnTo>
                  <a:lnTo>
                    <a:pt x="9" y="32"/>
                  </a:lnTo>
                  <a:lnTo>
                    <a:pt x="8" y="32"/>
                  </a:lnTo>
                  <a:lnTo>
                    <a:pt x="7" y="32"/>
                  </a:lnTo>
                  <a:lnTo>
                    <a:pt x="7" y="31"/>
                  </a:lnTo>
                  <a:lnTo>
                    <a:pt x="6" y="31"/>
                  </a:lnTo>
                  <a:lnTo>
                    <a:pt x="5" y="31"/>
                  </a:lnTo>
                  <a:lnTo>
                    <a:pt x="5" y="29"/>
                  </a:lnTo>
                  <a:lnTo>
                    <a:pt x="4" y="29"/>
                  </a:lnTo>
                  <a:lnTo>
                    <a:pt x="3" y="29"/>
                  </a:lnTo>
                  <a:lnTo>
                    <a:pt x="2" y="29"/>
                  </a:lnTo>
                  <a:lnTo>
                    <a:pt x="1" y="29"/>
                  </a:lnTo>
                  <a:lnTo>
                    <a:pt x="1" y="31"/>
                  </a:lnTo>
                  <a:lnTo>
                    <a:pt x="0" y="29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7" y="16"/>
                  </a:lnTo>
                  <a:lnTo>
                    <a:pt x="16" y="18"/>
                  </a:lnTo>
                  <a:lnTo>
                    <a:pt x="16" y="19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2"/>
                  </a:lnTo>
                  <a:lnTo>
                    <a:pt x="12" y="22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9"/>
                  </a:lnTo>
                  <a:lnTo>
                    <a:pt x="15" y="8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2" name="Freeform 12"/>
            <xdr:cNvSpPr>
              <a:spLocks/>
            </xdr:cNvSpPr>
          </xdr:nvSpPr>
          <xdr:spPr bwMode="auto">
            <a:xfrm>
              <a:off x="196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1 w 22"/>
                <a:gd name="T3" fmla="*/ 2 h 25"/>
                <a:gd name="T4" fmla="*/ 20 w 22"/>
                <a:gd name="T5" fmla="*/ 5 h 25"/>
                <a:gd name="T6" fmla="*/ 19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3 w 22"/>
                <a:gd name="T13" fmla="*/ 24 h 25"/>
                <a:gd name="T14" fmla="*/ 11 w 22"/>
                <a:gd name="T15" fmla="*/ 24 h 25"/>
                <a:gd name="T16" fmla="*/ 9 w 22"/>
                <a:gd name="T17" fmla="*/ 25 h 25"/>
                <a:gd name="T18" fmla="*/ 7 w 22"/>
                <a:gd name="T19" fmla="*/ 25 h 25"/>
                <a:gd name="T20" fmla="*/ 6 w 22"/>
                <a:gd name="T21" fmla="*/ 25 h 25"/>
                <a:gd name="T22" fmla="*/ 4 w 22"/>
                <a:gd name="T23" fmla="*/ 24 h 25"/>
                <a:gd name="T24" fmla="*/ 2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4 w 22"/>
                <a:gd name="T33" fmla="*/ 5 h 25"/>
                <a:gd name="T34" fmla="*/ 3 w 22"/>
                <a:gd name="T35" fmla="*/ 2 h 25"/>
                <a:gd name="T36" fmla="*/ 1 w 22"/>
                <a:gd name="T37" fmla="*/ 2 h 25"/>
                <a:gd name="T38" fmla="*/ 12 w 22"/>
                <a:gd name="T39" fmla="*/ 0 h 25"/>
                <a:gd name="T40" fmla="*/ 11 w 22"/>
                <a:gd name="T41" fmla="*/ 2 h 25"/>
                <a:gd name="T42" fmla="*/ 9 w 22"/>
                <a:gd name="T43" fmla="*/ 3 h 25"/>
                <a:gd name="T44" fmla="*/ 8 w 22"/>
                <a:gd name="T45" fmla="*/ 5 h 25"/>
                <a:gd name="T46" fmla="*/ 6 w 22"/>
                <a:gd name="T47" fmla="*/ 16 h 25"/>
                <a:gd name="T48" fmla="*/ 5 w 22"/>
                <a:gd name="T49" fmla="*/ 18 h 25"/>
                <a:gd name="T50" fmla="*/ 5 w 22"/>
                <a:gd name="T51" fmla="*/ 21 h 25"/>
                <a:gd name="T52" fmla="*/ 7 w 22"/>
                <a:gd name="T53" fmla="*/ 24 h 25"/>
                <a:gd name="T54" fmla="*/ 8 w 22"/>
                <a:gd name="T55" fmla="*/ 24 h 25"/>
                <a:gd name="T56" fmla="*/ 10 w 22"/>
                <a:gd name="T57" fmla="*/ 24 h 25"/>
                <a:gd name="T58" fmla="*/ 11 w 22"/>
                <a:gd name="T59" fmla="*/ 22 h 25"/>
                <a:gd name="T60" fmla="*/ 13 w 22"/>
                <a:gd name="T61" fmla="*/ 21 h 25"/>
                <a:gd name="T62" fmla="*/ 14 w 22"/>
                <a:gd name="T63" fmla="*/ 19 h 25"/>
                <a:gd name="T64" fmla="*/ 14 w 22"/>
                <a:gd name="T65" fmla="*/ 18 h 25"/>
                <a:gd name="T66" fmla="*/ 18 w 22"/>
                <a:gd name="T67" fmla="*/ 6 h 25"/>
                <a:gd name="T68" fmla="*/ 18 w 22"/>
                <a:gd name="T69" fmla="*/ 3 h 25"/>
                <a:gd name="T70" fmla="*/ 16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19" y="5"/>
                  </a:lnTo>
                  <a:lnTo>
                    <a:pt x="19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2" y="0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6" y="16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2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8" y="6"/>
                  </a:lnTo>
                  <a:lnTo>
                    <a:pt x="18" y="5"/>
                  </a:lnTo>
                  <a:lnTo>
                    <a:pt x="18" y="3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3" name="Freeform 13"/>
            <xdr:cNvSpPr>
              <a:spLocks/>
            </xdr:cNvSpPr>
          </xdr:nvSpPr>
          <xdr:spPr bwMode="auto">
            <a:xfrm>
              <a:off x="215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9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2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4" name="Freeform 14"/>
            <xdr:cNvSpPr>
              <a:spLocks/>
            </xdr:cNvSpPr>
          </xdr:nvSpPr>
          <xdr:spPr bwMode="auto">
            <a:xfrm>
              <a:off x="227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2 w 26"/>
                <a:gd name="T7" fmla="*/ 5 h 25"/>
                <a:gd name="T8" fmla="*/ 22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5 w 26"/>
                <a:gd name="T25" fmla="*/ 2 h 25"/>
                <a:gd name="T26" fmla="*/ 24 w 26"/>
                <a:gd name="T27" fmla="*/ 3 h 25"/>
                <a:gd name="T28" fmla="*/ 23 w 26"/>
                <a:gd name="T29" fmla="*/ 3 h 25"/>
                <a:gd name="T30" fmla="*/ 23 w 26"/>
                <a:gd name="T31" fmla="*/ 5 h 25"/>
                <a:gd name="T32" fmla="*/ 23 w 26"/>
                <a:gd name="T33" fmla="*/ 6 h 25"/>
                <a:gd name="T34" fmla="*/ 18 w 26"/>
                <a:gd name="T35" fmla="*/ 25 h 25"/>
                <a:gd name="T36" fmla="*/ 17 w 26"/>
                <a:gd name="T37" fmla="*/ 25 h 25"/>
                <a:gd name="T38" fmla="*/ 9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1 w 26"/>
                <a:gd name="T59" fmla="*/ 24 h 25"/>
                <a:gd name="T60" fmla="*/ 2 w 26"/>
                <a:gd name="T61" fmla="*/ 24 h 25"/>
                <a:gd name="T62" fmla="*/ 3 w 26"/>
                <a:gd name="T63" fmla="*/ 24 h 25"/>
                <a:gd name="T64" fmla="*/ 4 w 26"/>
                <a:gd name="T65" fmla="*/ 22 h 25"/>
                <a:gd name="T66" fmla="*/ 4 w 26"/>
                <a:gd name="T67" fmla="*/ 21 h 25"/>
                <a:gd name="T68" fmla="*/ 8 w 26"/>
                <a:gd name="T69" fmla="*/ 3 h 25"/>
                <a:gd name="T70" fmla="*/ 8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5" name="Freeform 15"/>
            <xdr:cNvSpPr>
              <a:spLocks/>
            </xdr:cNvSpPr>
          </xdr:nvSpPr>
          <xdr:spPr bwMode="auto">
            <a:xfrm>
              <a:off x="249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6" name="Freeform 16"/>
            <xdr:cNvSpPr>
              <a:spLocks/>
            </xdr:cNvSpPr>
          </xdr:nvSpPr>
          <xdr:spPr bwMode="auto">
            <a:xfrm>
              <a:off x="271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6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9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6 w 20"/>
                <a:gd name="T45" fmla="*/ 19 h 25"/>
                <a:gd name="T46" fmla="*/ 16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9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2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2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6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6" y="19"/>
                  </a:lnTo>
                  <a:lnTo>
                    <a:pt x="16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2" y="21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7" name="Freeform 17"/>
            <xdr:cNvSpPr>
              <a:spLocks noEditPoints="1"/>
            </xdr:cNvSpPr>
          </xdr:nvSpPr>
          <xdr:spPr bwMode="auto">
            <a:xfrm>
              <a:off x="291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4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2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8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19 w 20"/>
                <a:gd name="T47" fmla="*/ 13 h 25"/>
                <a:gd name="T48" fmla="*/ 18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2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2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4 w 20"/>
                <a:gd name="T81" fmla="*/ 16 h 25"/>
                <a:gd name="T82" fmla="*/ 4 w 20"/>
                <a:gd name="T83" fmla="*/ 19 h 25"/>
                <a:gd name="T84" fmla="*/ 4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1 w 20"/>
                <a:gd name="T93" fmla="*/ 22 h 25"/>
                <a:gd name="T94" fmla="*/ 12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8" name="Freeform 18"/>
            <xdr:cNvSpPr>
              <a:spLocks/>
            </xdr:cNvSpPr>
          </xdr:nvSpPr>
          <xdr:spPr bwMode="auto">
            <a:xfrm>
              <a:off x="310" y="156"/>
              <a:ext cx="27" cy="25"/>
            </a:xfrm>
            <a:custGeom>
              <a:avLst/>
              <a:gdLst>
                <a:gd name="T0" fmla="*/ 12 w 27"/>
                <a:gd name="T1" fmla="*/ 0 h 25"/>
                <a:gd name="T2" fmla="*/ 19 w 27"/>
                <a:gd name="T3" fmla="*/ 16 h 25"/>
                <a:gd name="T4" fmla="*/ 21 w 27"/>
                <a:gd name="T5" fmla="*/ 6 h 25"/>
                <a:gd name="T6" fmla="*/ 22 w 27"/>
                <a:gd name="T7" fmla="*/ 5 h 25"/>
                <a:gd name="T8" fmla="*/ 22 w 27"/>
                <a:gd name="T9" fmla="*/ 3 h 25"/>
                <a:gd name="T10" fmla="*/ 21 w 27"/>
                <a:gd name="T11" fmla="*/ 3 h 25"/>
                <a:gd name="T12" fmla="*/ 21 w 27"/>
                <a:gd name="T13" fmla="*/ 2 h 25"/>
                <a:gd name="T14" fmla="*/ 20 w 27"/>
                <a:gd name="T15" fmla="*/ 2 h 25"/>
                <a:gd name="T16" fmla="*/ 20 w 27"/>
                <a:gd name="T17" fmla="*/ 2 h 25"/>
                <a:gd name="T18" fmla="*/ 20 w 27"/>
                <a:gd name="T19" fmla="*/ 0 h 25"/>
                <a:gd name="T20" fmla="*/ 27 w 27"/>
                <a:gd name="T21" fmla="*/ 0 h 25"/>
                <a:gd name="T22" fmla="*/ 26 w 27"/>
                <a:gd name="T23" fmla="*/ 2 h 25"/>
                <a:gd name="T24" fmla="*/ 25 w 27"/>
                <a:gd name="T25" fmla="*/ 2 h 25"/>
                <a:gd name="T26" fmla="*/ 24 w 27"/>
                <a:gd name="T27" fmla="*/ 3 h 25"/>
                <a:gd name="T28" fmla="*/ 23 w 27"/>
                <a:gd name="T29" fmla="*/ 3 h 25"/>
                <a:gd name="T30" fmla="*/ 23 w 27"/>
                <a:gd name="T31" fmla="*/ 5 h 25"/>
                <a:gd name="T32" fmla="*/ 23 w 27"/>
                <a:gd name="T33" fmla="*/ 6 h 25"/>
                <a:gd name="T34" fmla="*/ 18 w 27"/>
                <a:gd name="T35" fmla="*/ 25 h 25"/>
                <a:gd name="T36" fmla="*/ 17 w 27"/>
                <a:gd name="T37" fmla="*/ 25 h 25"/>
                <a:gd name="T38" fmla="*/ 9 w 27"/>
                <a:gd name="T39" fmla="*/ 5 h 25"/>
                <a:gd name="T40" fmla="*/ 5 w 27"/>
                <a:gd name="T41" fmla="*/ 21 h 25"/>
                <a:gd name="T42" fmla="*/ 5 w 27"/>
                <a:gd name="T43" fmla="*/ 22 h 25"/>
                <a:gd name="T44" fmla="*/ 5 w 27"/>
                <a:gd name="T45" fmla="*/ 24 h 25"/>
                <a:gd name="T46" fmla="*/ 6 w 27"/>
                <a:gd name="T47" fmla="*/ 24 h 25"/>
                <a:gd name="T48" fmla="*/ 6 w 27"/>
                <a:gd name="T49" fmla="*/ 24 h 25"/>
                <a:gd name="T50" fmla="*/ 7 w 27"/>
                <a:gd name="T51" fmla="*/ 24 h 25"/>
                <a:gd name="T52" fmla="*/ 6 w 27"/>
                <a:gd name="T53" fmla="*/ 25 h 25"/>
                <a:gd name="T54" fmla="*/ 0 w 27"/>
                <a:gd name="T55" fmla="*/ 25 h 25"/>
                <a:gd name="T56" fmla="*/ 0 w 27"/>
                <a:gd name="T57" fmla="*/ 24 h 25"/>
                <a:gd name="T58" fmla="*/ 1 w 27"/>
                <a:gd name="T59" fmla="*/ 24 h 25"/>
                <a:gd name="T60" fmla="*/ 2 w 27"/>
                <a:gd name="T61" fmla="*/ 24 h 25"/>
                <a:gd name="T62" fmla="*/ 3 w 27"/>
                <a:gd name="T63" fmla="*/ 24 h 25"/>
                <a:gd name="T64" fmla="*/ 4 w 27"/>
                <a:gd name="T65" fmla="*/ 22 h 25"/>
                <a:gd name="T66" fmla="*/ 4 w 27"/>
                <a:gd name="T67" fmla="*/ 21 h 25"/>
                <a:gd name="T68" fmla="*/ 8 w 27"/>
                <a:gd name="T69" fmla="*/ 3 h 25"/>
                <a:gd name="T70" fmla="*/ 8 w 27"/>
                <a:gd name="T71" fmla="*/ 2 h 25"/>
                <a:gd name="T72" fmla="*/ 7 w 27"/>
                <a:gd name="T73" fmla="*/ 2 h 25"/>
                <a:gd name="T74" fmla="*/ 6 w 27"/>
                <a:gd name="T75" fmla="*/ 2 h 25"/>
                <a:gd name="T76" fmla="*/ 6 w 27"/>
                <a:gd name="T77" fmla="*/ 2 h 25"/>
                <a:gd name="T78" fmla="*/ 6 w 27"/>
                <a:gd name="T79" fmla="*/ 0 h 25"/>
                <a:gd name="T80" fmla="*/ 12 w 27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7"/>
                <a:gd name="T124" fmla="*/ 0 h 25"/>
                <a:gd name="T125" fmla="*/ 27 w 27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7" h="25">
                  <a:moveTo>
                    <a:pt x="12" y="0"/>
                  </a:moveTo>
                  <a:lnTo>
                    <a:pt x="19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20" y="0"/>
                  </a:lnTo>
                  <a:lnTo>
                    <a:pt x="27" y="0"/>
                  </a:lnTo>
                  <a:lnTo>
                    <a:pt x="26" y="2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9" name="Freeform 19"/>
            <xdr:cNvSpPr>
              <a:spLocks/>
            </xdr:cNvSpPr>
          </xdr:nvSpPr>
          <xdr:spPr bwMode="auto">
            <a:xfrm>
              <a:off x="332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3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3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3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6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5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5 w 19"/>
                <a:gd name="T77" fmla="*/ 9 h 25"/>
                <a:gd name="T78" fmla="*/ 5 w 19"/>
                <a:gd name="T79" fmla="*/ 6 h 25"/>
                <a:gd name="T80" fmla="*/ 6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2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0" name="Freeform 20"/>
            <xdr:cNvSpPr>
              <a:spLocks/>
            </xdr:cNvSpPr>
          </xdr:nvSpPr>
          <xdr:spPr bwMode="auto">
            <a:xfrm>
              <a:off x="352" y="156"/>
              <a:ext cx="20" cy="25"/>
            </a:xfrm>
            <a:custGeom>
              <a:avLst/>
              <a:gdLst>
                <a:gd name="T0" fmla="*/ 4 w 20"/>
                <a:gd name="T1" fmla="*/ 0 h 25"/>
                <a:gd name="T2" fmla="*/ 20 w 20"/>
                <a:gd name="T3" fmla="*/ 0 h 25"/>
                <a:gd name="T4" fmla="*/ 18 w 20"/>
                <a:gd name="T5" fmla="*/ 8 h 25"/>
                <a:gd name="T6" fmla="*/ 17 w 20"/>
                <a:gd name="T7" fmla="*/ 8 h 25"/>
                <a:gd name="T8" fmla="*/ 17 w 20"/>
                <a:gd name="T9" fmla="*/ 6 h 25"/>
                <a:gd name="T10" fmla="*/ 17 w 20"/>
                <a:gd name="T11" fmla="*/ 5 h 25"/>
                <a:gd name="T12" fmla="*/ 16 w 20"/>
                <a:gd name="T13" fmla="*/ 3 h 25"/>
                <a:gd name="T14" fmla="*/ 15 w 20"/>
                <a:gd name="T15" fmla="*/ 2 h 25"/>
                <a:gd name="T16" fmla="*/ 14 w 20"/>
                <a:gd name="T17" fmla="*/ 2 h 25"/>
                <a:gd name="T18" fmla="*/ 13 w 20"/>
                <a:gd name="T19" fmla="*/ 2 h 25"/>
                <a:gd name="T20" fmla="*/ 9 w 20"/>
                <a:gd name="T21" fmla="*/ 21 h 25"/>
                <a:gd name="T22" fmla="*/ 8 w 20"/>
                <a:gd name="T23" fmla="*/ 21 h 25"/>
                <a:gd name="T24" fmla="*/ 8 w 20"/>
                <a:gd name="T25" fmla="*/ 22 h 25"/>
                <a:gd name="T26" fmla="*/ 8 w 20"/>
                <a:gd name="T27" fmla="*/ 24 h 25"/>
                <a:gd name="T28" fmla="*/ 9 w 20"/>
                <a:gd name="T29" fmla="*/ 24 h 25"/>
                <a:gd name="T30" fmla="*/ 10 w 20"/>
                <a:gd name="T31" fmla="*/ 24 h 25"/>
                <a:gd name="T32" fmla="*/ 11 w 20"/>
                <a:gd name="T33" fmla="*/ 24 h 25"/>
                <a:gd name="T34" fmla="*/ 11 w 20"/>
                <a:gd name="T35" fmla="*/ 25 h 25"/>
                <a:gd name="T36" fmla="*/ 0 w 20"/>
                <a:gd name="T37" fmla="*/ 25 h 25"/>
                <a:gd name="T38" fmla="*/ 0 w 20"/>
                <a:gd name="T39" fmla="*/ 24 h 25"/>
                <a:gd name="T40" fmla="*/ 1 w 20"/>
                <a:gd name="T41" fmla="*/ 24 h 25"/>
                <a:gd name="T42" fmla="*/ 2 w 20"/>
                <a:gd name="T43" fmla="*/ 24 h 25"/>
                <a:gd name="T44" fmla="*/ 3 w 20"/>
                <a:gd name="T45" fmla="*/ 24 h 25"/>
                <a:gd name="T46" fmla="*/ 4 w 20"/>
                <a:gd name="T47" fmla="*/ 24 h 25"/>
                <a:gd name="T48" fmla="*/ 4 w 20"/>
                <a:gd name="T49" fmla="*/ 22 h 25"/>
                <a:gd name="T50" fmla="*/ 4 w 20"/>
                <a:gd name="T51" fmla="*/ 21 h 25"/>
                <a:gd name="T52" fmla="*/ 9 w 20"/>
                <a:gd name="T53" fmla="*/ 2 h 25"/>
                <a:gd name="T54" fmla="*/ 8 w 20"/>
                <a:gd name="T55" fmla="*/ 2 h 25"/>
                <a:gd name="T56" fmla="*/ 7 w 20"/>
                <a:gd name="T57" fmla="*/ 2 h 25"/>
                <a:gd name="T58" fmla="*/ 6 w 20"/>
                <a:gd name="T59" fmla="*/ 2 h 25"/>
                <a:gd name="T60" fmla="*/ 6 w 20"/>
                <a:gd name="T61" fmla="*/ 3 h 25"/>
                <a:gd name="T62" fmla="*/ 5 w 20"/>
                <a:gd name="T63" fmla="*/ 5 h 25"/>
                <a:gd name="T64" fmla="*/ 4 w 20"/>
                <a:gd name="T65" fmla="*/ 5 h 25"/>
                <a:gd name="T66" fmla="*/ 4 w 20"/>
                <a:gd name="T67" fmla="*/ 6 h 25"/>
                <a:gd name="T68" fmla="*/ 3 w 20"/>
                <a:gd name="T69" fmla="*/ 6 h 25"/>
                <a:gd name="T70" fmla="*/ 3 w 20"/>
                <a:gd name="T71" fmla="*/ 8 h 25"/>
                <a:gd name="T72" fmla="*/ 2 w 20"/>
                <a:gd name="T73" fmla="*/ 8 h 25"/>
                <a:gd name="T74" fmla="*/ 4 w 20"/>
                <a:gd name="T75" fmla="*/ 0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"/>
                <a:gd name="T115" fmla="*/ 0 h 25"/>
                <a:gd name="T116" fmla="*/ 20 w 20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" h="25">
                  <a:moveTo>
                    <a:pt x="4" y="0"/>
                  </a:moveTo>
                  <a:lnTo>
                    <a:pt x="20" y="0"/>
                  </a:lnTo>
                  <a:lnTo>
                    <a:pt x="18" y="8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9" y="21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9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3"/>
                  </a:lnTo>
                  <a:lnTo>
                    <a:pt x="5" y="5"/>
                  </a:lnTo>
                  <a:lnTo>
                    <a:pt x="4" y="5"/>
                  </a:lnTo>
                  <a:lnTo>
                    <a:pt x="4" y="6"/>
                  </a:lnTo>
                  <a:lnTo>
                    <a:pt x="3" y="6"/>
                  </a:lnTo>
                  <a:lnTo>
                    <a:pt x="3" y="8"/>
                  </a:lnTo>
                  <a:lnTo>
                    <a:pt x="2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1" name="Freeform 21"/>
            <xdr:cNvSpPr>
              <a:spLocks noEditPoints="1"/>
            </xdr:cNvSpPr>
          </xdr:nvSpPr>
          <xdr:spPr bwMode="auto">
            <a:xfrm>
              <a:off x="36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6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19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0 w 21"/>
                <a:gd name="T31" fmla="*/ 9 h 25"/>
                <a:gd name="T32" fmla="*/ 18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8 w 21"/>
                <a:gd name="T39" fmla="*/ 22 h 25"/>
                <a:gd name="T40" fmla="*/ 19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1 w 21"/>
                <a:gd name="T51" fmla="*/ 12 h 25"/>
                <a:gd name="T52" fmla="*/ 13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3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2"/>
                  </a:lnTo>
                  <a:lnTo>
                    <a:pt x="20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19" y="11"/>
                  </a:lnTo>
                  <a:lnTo>
                    <a:pt x="18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3" y="11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2" name="Freeform 22"/>
            <xdr:cNvSpPr>
              <a:spLocks/>
            </xdr:cNvSpPr>
          </xdr:nvSpPr>
          <xdr:spPr bwMode="auto">
            <a:xfrm>
              <a:off x="392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0 w 22"/>
                <a:gd name="T3" fmla="*/ 2 h 25"/>
                <a:gd name="T4" fmla="*/ 19 w 22"/>
                <a:gd name="T5" fmla="*/ 5 h 25"/>
                <a:gd name="T6" fmla="*/ 18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2 w 22"/>
                <a:gd name="T13" fmla="*/ 24 h 25"/>
                <a:gd name="T14" fmla="*/ 10 w 22"/>
                <a:gd name="T15" fmla="*/ 24 h 25"/>
                <a:gd name="T16" fmla="*/ 8 w 22"/>
                <a:gd name="T17" fmla="*/ 25 h 25"/>
                <a:gd name="T18" fmla="*/ 7 w 22"/>
                <a:gd name="T19" fmla="*/ 25 h 25"/>
                <a:gd name="T20" fmla="*/ 5 w 22"/>
                <a:gd name="T21" fmla="*/ 25 h 25"/>
                <a:gd name="T22" fmla="*/ 3 w 22"/>
                <a:gd name="T23" fmla="*/ 24 h 25"/>
                <a:gd name="T24" fmla="*/ 1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3 w 22"/>
                <a:gd name="T33" fmla="*/ 5 h 25"/>
                <a:gd name="T34" fmla="*/ 2 w 22"/>
                <a:gd name="T35" fmla="*/ 2 h 25"/>
                <a:gd name="T36" fmla="*/ 1 w 22"/>
                <a:gd name="T37" fmla="*/ 2 h 25"/>
                <a:gd name="T38" fmla="*/ 11 w 22"/>
                <a:gd name="T39" fmla="*/ 0 h 25"/>
                <a:gd name="T40" fmla="*/ 10 w 22"/>
                <a:gd name="T41" fmla="*/ 2 h 25"/>
                <a:gd name="T42" fmla="*/ 8 w 22"/>
                <a:gd name="T43" fmla="*/ 3 h 25"/>
                <a:gd name="T44" fmla="*/ 8 w 22"/>
                <a:gd name="T45" fmla="*/ 5 h 25"/>
                <a:gd name="T46" fmla="*/ 5 w 22"/>
                <a:gd name="T47" fmla="*/ 16 h 25"/>
                <a:gd name="T48" fmla="*/ 4 w 22"/>
                <a:gd name="T49" fmla="*/ 18 h 25"/>
                <a:gd name="T50" fmla="*/ 4 w 22"/>
                <a:gd name="T51" fmla="*/ 21 h 25"/>
                <a:gd name="T52" fmla="*/ 6 w 22"/>
                <a:gd name="T53" fmla="*/ 24 h 25"/>
                <a:gd name="T54" fmla="*/ 8 w 22"/>
                <a:gd name="T55" fmla="*/ 24 h 25"/>
                <a:gd name="T56" fmla="*/ 9 w 22"/>
                <a:gd name="T57" fmla="*/ 24 h 25"/>
                <a:gd name="T58" fmla="*/ 10 w 22"/>
                <a:gd name="T59" fmla="*/ 22 h 25"/>
                <a:gd name="T60" fmla="*/ 12 w 22"/>
                <a:gd name="T61" fmla="*/ 21 h 25"/>
                <a:gd name="T62" fmla="*/ 13 w 22"/>
                <a:gd name="T63" fmla="*/ 19 h 25"/>
                <a:gd name="T64" fmla="*/ 14 w 22"/>
                <a:gd name="T65" fmla="*/ 18 h 25"/>
                <a:gd name="T66" fmla="*/ 17 w 22"/>
                <a:gd name="T67" fmla="*/ 6 h 25"/>
                <a:gd name="T68" fmla="*/ 17 w 22"/>
                <a:gd name="T69" fmla="*/ 3 h 25"/>
                <a:gd name="T70" fmla="*/ 15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3"/>
                  </a:lnTo>
                  <a:lnTo>
                    <a:pt x="19" y="5"/>
                  </a:lnTo>
                  <a:lnTo>
                    <a:pt x="18" y="5"/>
                  </a:lnTo>
                  <a:lnTo>
                    <a:pt x="18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3" y="22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3" y="6"/>
                  </a:lnTo>
                  <a:lnTo>
                    <a:pt x="3" y="5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5" y="16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2"/>
                  </a:lnTo>
                  <a:lnTo>
                    <a:pt x="11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3" name="Freeform 23"/>
            <xdr:cNvSpPr>
              <a:spLocks/>
            </xdr:cNvSpPr>
          </xdr:nvSpPr>
          <xdr:spPr bwMode="auto">
            <a:xfrm>
              <a:off x="413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4" name="Freeform 24"/>
            <xdr:cNvSpPr>
              <a:spLocks/>
            </xdr:cNvSpPr>
          </xdr:nvSpPr>
          <xdr:spPr bwMode="auto">
            <a:xfrm>
              <a:off x="434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5" name="Freeform 25"/>
            <xdr:cNvSpPr>
              <a:spLocks/>
            </xdr:cNvSpPr>
          </xdr:nvSpPr>
          <xdr:spPr bwMode="auto">
            <a:xfrm>
              <a:off x="451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1 w 16"/>
                <a:gd name="T27" fmla="*/ 24 h 25"/>
                <a:gd name="T28" fmla="*/ 11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4 w 16"/>
                <a:gd name="T41" fmla="*/ 22 h 25"/>
                <a:gd name="T42" fmla="*/ 4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6" name="Freeform 26"/>
            <xdr:cNvSpPr>
              <a:spLocks noEditPoints="1"/>
            </xdr:cNvSpPr>
          </xdr:nvSpPr>
          <xdr:spPr bwMode="auto">
            <a:xfrm>
              <a:off x="465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5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3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9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20 w 20"/>
                <a:gd name="T47" fmla="*/ 13 h 25"/>
                <a:gd name="T48" fmla="*/ 19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3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3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5 w 20"/>
                <a:gd name="T81" fmla="*/ 16 h 25"/>
                <a:gd name="T82" fmla="*/ 5 w 20"/>
                <a:gd name="T83" fmla="*/ 19 h 25"/>
                <a:gd name="T84" fmla="*/ 5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2 w 20"/>
                <a:gd name="T93" fmla="*/ 22 h 25"/>
                <a:gd name="T94" fmla="*/ 13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20" y="12"/>
                  </a:lnTo>
                  <a:lnTo>
                    <a:pt x="20" y="13"/>
                  </a:lnTo>
                  <a:lnTo>
                    <a:pt x="19" y="13"/>
                  </a:lnTo>
                  <a:lnTo>
                    <a:pt x="19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3" y="0"/>
                  </a:lnTo>
                  <a:lnTo>
                    <a:pt x="12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7" name="Freeform 27"/>
            <xdr:cNvSpPr>
              <a:spLocks/>
            </xdr:cNvSpPr>
          </xdr:nvSpPr>
          <xdr:spPr bwMode="auto">
            <a:xfrm>
              <a:off x="485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1 w 26"/>
                <a:gd name="T7" fmla="*/ 5 h 25"/>
                <a:gd name="T8" fmla="*/ 21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4 w 26"/>
                <a:gd name="T25" fmla="*/ 2 h 25"/>
                <a:gd name="T26" fmla="*/ 23 w 26"/>
                <a:gd name="T27" fmla="*/ 3 h 25"/>
                <a:gd name="T28" fmla="*/ 22 w 26"/>
                <a:gd name="T29" fmla="*/ 3 h 25"/>
                <a:gd name="T30" fmla="*/ 22 w 26"/>
                <a:gd name="T31" fmla="*/ 5 h 25"/>
                <a:gd name="T32" fmla="*/ 22 w 26"/>
                <a:gd name="T33" fmla="*/ 6 h 25"/>
                <a:gd name="T34" fmla="*/ 17 w 26"/>
                <a:gd name="T35" fmla="*/ 25 h 25"/>
                <a:gd name="T36" fmla="*/ 16 w 26"/>
                <a:gd name="T37" fmla="*/ 25 h 25"/>
                <a:gd name="T38" fmla="*/ 8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0 w 26"/>
                <a:gd name="T59" fmla="*/ 24 h 25"/>
                <a:gd name="T60" fmla="*/ 1 w 26"/>
                <a:gd name="T61" fmla="*/ 24 h 25"/>
                <a:gd name="T62" fmla="*/ 2 w 26"/>
                <a:gd name="T63" fmla="*/ 24 h 25"/>
                <a:gd name="T64" fmla="*/ 3 w 26"/>
                <a:gd name="T65" fmla="*/ 22 h 25"/>
                <a:gd name="T66" fmla="*/ 3 w 26"/>
                <a:gd name="T67" fmla="*/ 21 h 25"/>
                <a:gd name="T68" fmla="*/ 7 w 26"/>
                <a:gd name="T69" fmla="*/ 3 h 25"/>
                <a:gd name="T70" fmla="*/ 7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2"/>
                  </a:lnTo>
                  <a:lnTo>
                    <a:pt x="23" y="3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8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8" name="Freeform 28"/>
            <xdr:cNvSpPr>
              <a:spLocks/>
            </xdr:cNvSpPr>
          </xdr:nvSpPr>
          <xdr:spPr bwMode="auto">
            <a:xfrm>
              <a:off x="507" y="156"/>
              <a:ext cx="23" cy="25"/>
            </a:xfrm>
            <a:custGeom>
              <a:avLst/>
              <a:gdLst>
                <a:gd name="T0" fmla="*/ 11 w 23"/>
                <a:gd name="T1" fmla="*/ 12 h 25"/>
                <a:gd name="T2" fmla="*/ 13 w 23"/>
                <a:gd name="T3" fmla="*/ 12 h 25"/>
                <a:gd name="T4" fmla="*/ 14 w 23"/>
                <a:gd name="T5" fmla="*/ 12 h 25"/>
                <a:gd name="T6" fmla="*/ 16 w 23"/>
                <a:gd name="T7" fmla="*/ 11 h 25"/>
                <a:gd name="T8" fmla="*/ 17 w 23"/>
                <a:gd name="T9" fmla="*/ 9 h 25"/>
                <a:gd name="T10" fmla="*/ 18 w 23"/>
                <a:gd name="T11" fmla="*/ 8 h 25"/>
                <a:gd name="T12" fmla="*/ 15 w 23"/>
                <a:gd name="T13" fmla="*/ 16 h 25"/>
                <a:gd name="T14" fmla="*/ 15 w 23"/>
                <a:gd name="T15" fmla="*/ 13 h 25"/>
                <a:gd name="T16" fmla="*/ 13 w 23"/>
                <a:gd name="T17" fmla="*/ 13 h 25"/>
                <a:gd name="T18" fmla="*/ 12 w 23"/>
                <a:gd name="T19" fmla="*/ 13 h 25"/>
                <a:gd name="T20" fmla="*/ 8 w 23"/>
                <a:gd name="T21" fmla="*/ 21 h 25"/>
                <a:gd name="T22" fmla="*/ 8 w 23"/>
                <a:gd name="T23" fmla="*/ 24 h 25"/>
                <a:gd name="T24" fmla="*/ 10 w 23"/>
                <a:gd name="T25" fmla="*/ 24 h 25"/>
                <a:gd name="T26" fmla="*/ 12 w 23"/>
                <a:gd name="T27" fmla="*/ 24 h 25"/>
                <a:gd name="T28" fmla="*/ 13 w 23"/>
                <a:gd name="T29" fmla="*/ 24 h 25"/>
                <a:gd name="T30" fmla="*/ 15 w 23"/>
                <a:gd name="T31" fmla="*/ 24 h 25"/>
                <a:gd name="T32" fmla="*/ 17 w 23"/>
                <a:gd name="T33" fmla="*/ 21 h 25"/>
                <a:gd name="T34" fmla="*/ 19 w 23"/>
                <a:gd name="T35" fmla="*/ 19 h 25"/>
                <a:gd name="T36" fmla="*/ 18 w 23"/>
                <a:gd name="T37" fmla="*/ 25 h 25"/>
                <a:gd name="T38" fmla="*/ 0 w 23"/>
                <a:gd name="T39" fmla="*/ 24 h 25"/>
                <a:gd name="T40" fmla="*/ 2 w 23"/>
                <a:gd name="T41" fmla="*/ 24 h 25"/>
                <a:gd name="T42" fmla="*/ 4 w 23"/>
                <a:gd name="T43" fmla="*/ 22 h 25"/>
                <a:gd name="T44" fmla="*/ 8 w 23"/>
                <a:gd name="T45" fmla="*/ 6 h 25"/>
                <a:gd name="T46" fmla="*/ 8 w 23"/>
                <a:gd name="T47" fmla="*/ 3 h 25"/>
                <a:gd name="T48" fmla="*/ 6 w 23"/>
                <a:gd name="T49" fmla="*/ 2 h 25"/>
                <a:gd name="T50" fmla="*/ 6 w 23"/>
                <a:gd name="T51" fmla="*/ 0 h 25"/>
                <a:gd name="T52" fmla="*/ 21 w 23"/>
                <a:gd name="T53" fmla="*/ 8 h 25"/>
                <a:gd name="T54" fmla="*/ 20 w 23"/>
                <a:gd name="T55" fmla="*/ 6 h 25"/>
                <a:gd name="T56" fmla="*/ 20 w 23"/>
                <a:gd name="T57" fmla="*/ 5 h 25"/>
                <a:gd name="T58" fmla="*/ 19 w 23"/>
                <a:gd name="T59" fmla="*/ 3 h 25"/>
                <a:gd name="T60" fmla="*/ 17 w 23"/>
                <a:gd name="T61" fmla="*/ 2 h 25"/>
                <a:gd name="T62" fmla="*/ 15 w 23"/>
                <a:gd name="T63" fmla="*/ 2 h 2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3"/>
                <a:gd name="T97" fmla="*/ 0 h 25"/>
                <a:gd name="T98" fmla="*/ 23 w 23"/>
                <a:gd name="T99" fmla="*/ 25 h 2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3" h="25">
                  <a:moveTo>
                    <a:pt x="13" y="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8" y="8"/>
                  </a:lnTo>
                  <a:lnTo>
                    <a:pt x="16" y="16"/>
                  </a:lnTo>
                  <a:lnTo>
                    <a:pt x="15" y="16"/>
                  </a:lnTo>
                  <a:lnTo>
                    <a:pt x="15" y="15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4"/>
                  </a:lnTo>
                  <a:lnTo>
                    <a:pt x="16" y="22"/>
                  </a:lnTo>
                  <a:lnTo>
                    <a:pt x="17" y="21"/>
                  </a:lnTo>
                  <a:lnTo>
                    <a:pt x="18" y="21"/>
                  </a:lnTo>
                  <a:lnTo>
                    <a:pt x="19" y="19"/>
                  </a:lnTo>
                  <a:lnTo>
                    <a:pt x="20" y="19"/>
                  </a:lnTo>
                  <a:lnTo>
                    <a:pt x="18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23" y="0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6"/>
                  </a:lnTo>
                  <a:lnTo>
                    <a:pt x="20" y="5"/>
                  </a:lnTo>
                  <a:lnTo>
                    <a:pt x="20" y="3"/>
                  </a:lnTo>
                  <a:lnTo>
                    <a:pt x="19" y="3"/>
                  </a:lnTo>
                  <a:lnTo>
                    <a:pt x="18" y="2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3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9" name="Freeform 29"/>
            <xdr:cNvSpPr>
              <a:spLocks/>
            </xdr:cNvSpPr>
          </xdr:nvSpPr>
          <xdr:spPr bwMode="auto">
            <a:xfrm>
              <a:off x="527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0" name="Freeform 30"/>
            <xdr:cNvSpPr>
              <a:spLocks/>
            </xdr:cNvSpPr>
          </xdr:nvSpPr>
          <xdr:spPr bwMode="auto">
            <a:xfrm>
              <a:off x="552" y="156"/>
              <a:ext cx="18" cy="25"/>
            </a:xfrm>
            <a:custGeom>
              <a:avLst/>
              <a:gdLst>
                <a:gd name="T0" fmla="*/ 17 w 18"/>
                <a:gd name="T1" fmla="*/ 9 h 25"/>
                <a:gd name="T2" fmla="*/ 16 w 18"/>
                <a:gd name="T3" fmla="*/ 8 h 25"/>
                <a:gd name="T4" fmla="*/ 16 w 18"/>
                <a:gd name="T5" fmla="*/ 5 h 25"/>
                <a:gd name="T6" fmla="*/ 15 w 18"/>
                <a:gd name="T7" fmla="*/ 3 h 25"/>
                <a:gd name="T8" fmla="*/ 13 w 18"/>
                <a:gd name="T9" fmla="*/ 0 h 25"/>
                <a:gd name="T10" fmla="*/ 11 w 18"/>
                <a:gd name="T11" fmla="*/ 0 h 25"/>
                <a:gd name="T12" fmla="*/ 10 w 18"/>
                <a:gd name="T13" fmla="*/ 2 h 25"/>
                <a:gd name="T14" fmla="*/ 9 w 18"/>
                <a:gd name="T15" fmla="*/ 5 h 25"/>
                <a:gd name="T16" fmla="*/ 9 w 18"/>
                <a:gd name="T17" fmla="*/ 8 h 25"/>
                <a:gd name="T18" fmla="*/ 10 w 18"/>
                <a:gd name="T19" fmla="*/ 9 h 25"/>
                <a:gd name="T20" fmla="*/ 10 w 18"/>
                <a:gd name="T21" fmla="*/ 11 h 25"/>
                <a:gd name="T22" fmla="*/ 11 w 18"/>
                <a:gd name="T23" fmla="*/ 12 h 25"/>
                <a:gd name="T24" fmla="*/ 13 w 18"/>
                <a:gd name="T25" fmla="*/ 13 h 25"/>
                <a:gd name="T26" fmla="*/ 14 w 18"/>
                <a:gd name="T27" fmla="*/ 15 h 25"/>
                <a:gd name="T28" fmla="*/ 15 w 18"/>
                <a:gd name="T29" fmla="*/ 18 h 25"/>
                <a:gd name="T30" fmla="*/ 15 w 18"/>
                <a:gd name="T31" fmla="*/ 21 h 25"/>
                <a:gd name="T32" fmla="*/ 13 w 18"/>
                <a:gd name="T33" fmla="*/ 24 h 25"/>
                <a:gd name="T34" fmla="*/ 11 w 18"/>
                <a:gd name="T35" fmla="*/ 24 h 25"/>
                <a:gd name="T36" fmla="*/ 10 w 18"/>
                <a:gd name="T37" fmla="*/ 25 h 25"/>
                <a:gd name="T38" fmla="*/ 8 w 18"/>
                <a:gd name="T39" fmla="*/ 25 h 25"/>
                <a:gd name="T40" fmla="*/ 6 w 18"/>
                <a:gd name="T41" fmla="*/ 25 h 25"/>
                <a:gd name="T42" fmla="*/ 4 w 18"/>
                <a:gd name="T43" fmla="*/ 24 h 25"/>
                <a:gd name="T44" fmla="*/ 3 w 18"/>
                <a:gd name="T45" fmla="*/ 24 h 25"/>
                <a:gd name="T46" fmla="*/ 2 w 18"/>
                <a:gd name="T47" fmla="*/ 25 h 25"/>
                <a:gd name="T48" fmla="*/ 0 w 18"/>
                <a:gd name="T49" fmla="*/ 25 h 25"/>
                <a:gd name="T50" fmla="*/ 3 w 18"/>
                <a:gd name="T51" fmla="*/ 18 h 25"/>
                <a:gd name="T52" fmla="*/ 3 w 18"/>
                <a:gd name="T53" fmla="*/ 19 h 25"/>
                <a:gd name="T54" fmla="*/ 4 w 18"/>
                <a:gd name="T55" fmla="*/ 21 h 25"/>
                <a:gd name="T56" fmla="*/ 5 w 18"/>
                <a:gd name="T57" fmla="*/ 24 h 25"/>
                <a:gd name="T58" fmla="*/ 7 w 18"/>
                <a:gd name="T59" fmla="*/ 24 h 25"/>
                <a:gd name="T60" fmla="*/ 9 w 18"/>
                <a:gd name="T61" fmla="*/ 24 h 25"/>
                <a:gd name="T62" fmla="*/ 10 w 18"/>
                <a:gd name="T63" fmla="*/ 24 h 25"/>
                <a:gd name="T64" fmla="*/ 11 w 18"/>
                <a:gd name="T65" fmla="*/ 21 h 25"/>
                <a:gd name="T66" fmla="*/ 10 w 18"/>
                <a:gd name="T67" fmla="*/ 18 h 25"/>
                <a:gd name="T68" fmla="*/ 10 w 18"/>
                <a:gd name="T69" fmla="*/ 16 h 25"/>
                <a:gd name="T70" fmla="*/ 9 w 18"/>
                <a:gd name="T71" fmla="*/ 15 h 25"/>
                <a:gd name="T72" fmla="*/ 8 w 18"/>
                <a:gd name="T73" fmla="*/ 13 h 25"/>
                <a:gd name="T74" fmla="*/ 7 w 18"/>
                <a:gd name="T75" fmla="*/ 12 h 25"/>
                <a:gd name="T76" fmla="*/ 5 w 18"/>
                <a:gd name="T77" fmla="*/ 9 h 25"/>
                <a:gd name="T78" fmla="*/ 5 w 18"/>
                <a:gd name="T79" fmla="*/ 6 h 25"/>
                <a:gd name="T80" fmla="*/ 6 w 18"/>
                <a:gd name="T81" fmla="*/ 5 h 25"/>
                <a:gd name="T82" fmla="*/ 7 w 18"/>
                <a:gd name="T83" fmla="*/ 2 h 25"/>
                <a:gd name="T84" fmla="*/ 9 w 18"/>
                <a:gd name="T85" fmla="*/ 0 h 25"/>
                <a:gd name="T86" fmla="*/ 10 w 18"/>
                <a:gd name="T87" fmla="*/ 0 h 25"/>
                <a:gd name="T88" fmla="*/ 12 w 18"/>
                <a:gd name="T89" fmla="*/ 0 h 25"/>
                <a:gd name="T90" fmla="*/ 14 w 18"/>
                <a:gd name="T91" fmla="*/ 0 h 25"/>
                <a:gd name="T92" fmla="*/ 16 w 18"/>
                <a:gd name="T93" fmla="*/ 0 h 25"/>
                <a:gd name="T94" fmla="*/ 17 w 18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8"/>
                <a:gd name="T145" fmla="*/ 0 h 25"/>
                <a:gd name="T146" fmla="*/ 18 w 18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8" h="25">
                  <a:moveTo>
                    <a:pt x="18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0" y="11"/>
                  </a:lnTo>
                  <a:lnTo>
                    <a:pt x="11" y="11"/>
                  </a:lnTo>
                  <a:lnTo>
                    <a:pt x="11" y="12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3" y="19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1" y="19"/>
                  </a:lnTo>
                  <a:lnTo>
                    <a:pt x="10" y="18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1" name="Freeform 31"/>
            <xdr:cNvSpPr>
              <a:spLocks/>
            </xdr:cNvSpPr>
          </xdr:nvSpPr>
          <xdr:spPr bwMode="auto">
            <a:xfrm>
              <a:off x="569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2" name="Freeform 32"/>
            <xdr:cNvSpPr>
              <a:spLocks noEditPoints="1"/>
            </xdr:cNvSpPr>
          </xdr:nvSpPr>
          <xdr:spPr bwMode="auto">
            <a:xfrm>
              <a:off x="576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7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20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1 w 21"/>
                <a:gd name="T31" fmla="*/ 9 h 25"/>
                <a:gd name="T32" fmla="*/ 19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9 w 21"/>
                <a:gd name="T39" fmla="*/ 22 h 25"/>
                <a:gd name="T40" fmla="*/ 20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2 w 21"/>
                <a:gd name="T51" fmla="*/ 12 h 25"/>
                <a:gd name="T52" fmla="*/ 14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4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2"/>
                  </a:lnTo>
                  <a:lnTo>
                    <a:pt x="21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9" y="22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3" name="Freeform 33"/>
            <xdr:cNvSpPr>
              <a:spLocks/>
            </xdr:cNvSpPr>
          </xdr:nvSpPr>
          <xdr:spPr bwMode="auto">
            <a:xfrm>
              <a:off x="597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4" name="Freeform 34"/>
            <xdr:cNvSpPr>
              <a:spLocks/>
            </xdr:cNvSpPr>
          </xdr:nvSpPr>
          <xdr:spPr bwMode="auto">
            <a:xfrm>
              <a:off x="604" y="156"/>
              <a:ext cx="19" cy="25"/>
            </a:xfrm>
            <a:custGeom>
              <a:avLst/>
              <a:gdLst>
                <a:gd name="T0" fmla="*/ 17 w 19"/>
                <a:gd name="T1" fmla="*/ 25 h 25"/>
                <a:gd name="T2" fmla="*/ 0 w 19"/>
                <a:gd name="T3" fmla="*/ 25 h 25"/>
                <a:gd name="T4" fmla="*/ 0 w 19"/>
                <a:gd name="T5" fmla="*/ 24 h 25"/>
                <a:gd name="T6" fmla="*/ 1 w 19"/>
                <a:gd name="T7" fmla="*/ 24 h 25"/>
                <a:gd name="T8" fmla="*/ 2 w 19"/>
                <a:gd name="T9" fmla="*/ 24 h 25"/>
                <a:gd name="T10" fmla="*/ 3 w 19"/>
                <a:gd name="T11" fmla="*/ 24 h 25"/>
                <a:gd name="T12" fmla="*/ 4 w 19"/>
                <a:gd name="T13" fmla="*/ 22 h 25"/>
                <a:gd name="T14" fmla="*/ 4 w 19"/>
                <a:gd name="T15" fmla="*/ 21 h 25"/>
                <a:gd name="T16" fmla="*/ 8 w 19"/>
                <a:gd name="T17" fmla="*/ 6 h 25"/>
                <a:gd name="T18" fmla="*/ 8 w 19"/>
                <a:gd name="T19" fmla="*/ 5 h 25"/>
                <a:gd name="T20" fmla="*/ 8 w 19"/>
                <a:gd name="T21" fmla="*/ 3 h 25"/>
                <a:gd name="T22" fmla="*/ 7 w 19"/>
                <a:gd name="T23" fmla="*/ 2 h 25"/>
                <a:gd name="T24" fmla="*/ 7 w 19"/>
                <a:gd name="T25" fmla="*/ 2 h 25"/>
                <a:gd name="T26" fmla="*/ 6 w 19"/>
                <a:gd name="T27" fmla="*/ 2 h 25"/>
                <a:gd name="T28" fmla="*/ 7 w 19"/>
                <a:gd name="T29" fmla="*/ 0 h 25"/>
                <a:gd name="T30" fmla="*/ 16 w 19"/>
                <a:gd name="T31" fmla="*/ 0 h 25"/>
                <a:gd name="T32" fmla="*/ 15 w 19"/>
                <a:gd name="T33" fmla="*/ 2 h 25"/>
                <a:gd name="T34" fmla="*/ 14 w 19"/>
                <a:gd name="T35" fmla="*/ 2 h 25"/>
                <a:gd name="T36" fmla="*/ 14 w 19"/>
                <a:gd name="T37" fmla="*/ 3 h 25"/>
                <a:gd name="T38" fmla="*/ 14 w 19"/>
                <a:gd name="T39" fmla="*/ 5 h 25"/>
                <a:gd name="T40" fmla="*/ 13 w 19"/>
                <a:gd name="T41" fmla="*/ 5 h 25"/>
                <a:gd name="T42" fmla="*/ 13 w 19"/>
                <a:gd name="T43" fmla="*/ 6 h 25"/>
                <a:gd name="T44" fmla="*/ 9 w 19"/>
                <a:gd name="T45" fmla="*/ 21 h 25"/>
                <a:gd name="T46" fmla="*/ 8 w 19"/>
                <a:gd name="T47" fmla="*/ 22 h 25"/>
                <a:gd name="T48" fmla="*/ 8 w 19"/>
                <a:gd name="T49" fmla="*/ 24 h 25"/>
                <a:gd name="T50" fmla="*/ 9 w 19"/>
                <a:gd name="T51" fmla="*/ 24 h 25"/>
                <a:gd name="T52" fmla="*/ 10 w 19"/>
                <a:gd name="T53" fmla="*/ 24 h 25"/>
                <a:gd name="T54" fmla="*/ 11 w 19"/>
                <a:gd name="T55" fmla="*/ 24 h 25"/>
                <a:gd name="T56" fmla="*/ 12 w 19"/>
                <a:gd name="T57" fmla="*/ 24 h 25"/>
                <a:gd name="T58" fmla="*/ 13 w 19"/>
                <a:gd name="T59" fmla="*/ 24 h 25"/>
                <a:gd name="T60" fmla="*/ 14 w 19"/>
                <a:gd name="T61" fmla="*/ 24 h 25"/>
                <a:gd name="T62" fmla="*/ 14 w 19"/>
                <a:gd name="T63" fmla="*/ 24 h 25"/>
                <a:gd name="T64" fmla="*/ 15 w 19"/>
                <a:gd name="T65" fmla="*/ 22 h 25"/>
                <a:gd name="T66" fmla="*/ 16 w 19"/>
                <a:gd name="T67" fmla="*/ 21 h 25"/>
                <a:gd name="T68" fmla="*/ 17 w 19"/>
                <a:gd name="T69" fmla="*/ 21 h 25"/>
                <a:gd name="T70" fmla="*/ 18 w 19"/>
                <a:gd name="T71" fmla="*/ 19 h 25"/>
                <a:gd name="T72" fmla="*/ 19 w 19"/>
                <a:gd name="T73" fmla="*/ 19 h 25"/>
                <a:gd name="T74" fmla="*/ 17 w 19"/>
                <a:gd name="T75" fmla="*/ 25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19"/>
                <a:gd name="T115" fmla="*/ 0 h 25"/>
                <a:gd name="T116" fmla="*/ 19 w 19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19" h="25">
                  <a:moveTo>
                    <a:pt x="17" y="25"/>
                  </a:move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7" y="0"/>
                  </a:lnTo>
                  <a:lnTo>
                    <a:pt x="16" y="0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4" y="3"/>
                  </a:lnTo>
                  <a:lnTo>
                    <a:pt x="14" y="5"/>
                  </a:lnTo>
                  <a:lnTo>
                    <a:pt x="13" y="5"/>
                  </a:lnTo>
                  <a:lnTo>
                    <a:pt x="13" y="6"/>
                  </a:lnTo>
                  <a:lnTo>
                    <a:pt x="9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2"/>
                  </a:lnTo>
                  <a:lnTo>
                    <a:pt x="16" y="21"/>
                  </a:lnTo>
                  <a:lnTo>
                    <a:pt x="17" y="21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5" name="Freeform 35"/>
            <xdr:cNvSpPr>
              <a:spLocks/>
            </xdr:cNvSpPr>
          </xdr:nvSpPr>
          <xdr:spPr bwMode="auto">
            <a:xfrm>
              <a:off x="623" y="177"/>
              <a:ext cx="3" cy="4"/>
            </a:xfrm>
            <a:custGeom>
              <a:avLst/>
              <a:gdLst>
                <a:gd name="T0" fmla="*/ 2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2 w 3"/>
                <a:gd name="T15" fmla="*/ 4 h 4"/>
                <a:gd name="T16" fmla="*/ 1 w 3"/>
                <a:gd name="T17" fmla="*/ 4 h 4"/>
                <a:gd name="T18" fmla="*/ 1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1 w 3"/>
                <a:gd name="T25" fmla="*/ 1 h 4"/>
                <a:gd name="T26" fmla="*/ 1 w 3"/>
                <a:gd name="T27" fmla="*/ 0 h 4"/>
                <a:gd name="T28" fmla="*/ 2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2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6" name="Freeform 36"/>
            <xdr:cNvSpPr>
              <a:spLocks/>
            </xdr:cNvSpPr>
          </xdr:nvSpPr>
          <xdr:spPr bwMode="auto">
            <a:xfrm>
              <a:off x="116" y="281"/>
              <a:ext cx="431" cy="4"/>
            </a:xfrm>
            <a:custGeom>
              <a:avLst/>
              <a:gdLst>
                <a:gd name="T0" fmla="*/ 431 w 431"/>
                <a:gd name="T1" fmla="*/ 1 h 4"/>
                <a:gd name="T2" fmla="*/ 431 w 431"/>
                <a:gd name="T3" fmla="*/ 0 h 4"/>
                <a:gd name="T4" fmla="*/ 0 w 431"/>
                <a:gd name="T5" fmla="*/ 0 h 4"/>
                <a:gd name="T6" fmla="*/ 0 w 431"/>
                <a:gd name="T7" fmla="*/ 4 h 4"/>
                <a:gd name="T8" fmla="*/ 431 w 431"/>
                <a:gd name="T9" fmla="*/ 4 h 4"/>
                <a:gd name="T10" fmla="*/ 431 w 43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31"/>
                <a:gd name="T19" fmla="*/ 0 h 4"/>
                <a:gd name="T20" fmla="*/ 431 w 43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31" h="4">
                  <a:moveTo>
                    <a:pt x="431" y="1"/>
                  </a:moveTo>
                  <a:lnTo>
                    <a:pt x="43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31" y="4"/>
                  </a:lnTo>
                  <a:lnTo>
                    <a:pt x="43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7" name="Freeform 37"/>
            <xdr:cNvSpPr>
              <a:spLocks/>
            </xdr:cNvSpPr>
          </xdr:nvSpPr>
          <xdr:spPr bwMode="auto">
            <a:xfrm>
              <a:off x="618" y="238"/>
              <a:ext cx="11" cy="4"/>
            </a:xfrm>
            <a:custGeom>
              <a:avLst/>
              <a:gdLst>
                <a:gd name="T0" fmla="*/ 11 w 11"/>
                <a:gd name="T1" fmla="*/ 1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1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8" name="Freeform 38"/>
            <xdr:cNvSpPr>
              <a:spLocks/>
            </xdr:cNvSpPr>
          </xdr:nvSpPr>
          <xdr:spPr bwMode="auto">
            <a:xfrm>
              <a:off x="607" y="222"/>
              <a:ext cx="12" cy="18"/>
            </a:xfrm>
            <a:custGeom>
              <a:avLst/>
              <a:gdLst>
                <a:gd name="T0" fmla="*/ 1 w 12"/>
                <a:gd name="T1" fmla="*/ 1 h 18"/>
                <a:gd name="T2" fmla="*/ 0 w 12"/>
                <a:gd name="T3" fmla="*/ 3 h 18"/>
                <a:gd name="T4" fmla="*/ 10 w 12"/>
                <a:gd name="T5" fmla="*/ 18 h 18"/>
                <a:gd name="T6" fmla="*/ 12 w 12"/>
                <a:gd name="T7" fmla="*/ 16 h 18"/>
                <a:gd name="T8" fmla="*/ 2 w 12"/>
                <a:gd name="T9" fmla="*/ 0 h 18"/>
                <a:gd name="T10" fmla="*/ 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" y="1"/>
                  </a:moveTo>
                  <a:lnTo>
                    <a:pt x="0" y="3"/>
                  </a:lnTo>
                  <a:lnTo>
                    <a:pt x="10" y="18"/>
                  </a:lnTo>
                  <a:lnTo>
                    <a:pt x="12" y="16"/>
                  </a:lnTo>
                  <a:lnTo>
                    <a:pt x="2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9" name="Freeform 39"/>
            <xdr:cNvSpPr>
              <a:spLocks/>
            </xdr:cNvSpPr>
          </xdr:nvSpPr>
          <xdr:spPr bwMode="auto">
            <a:xfrm>
              <a:off x="554" y="206"/>
              <a:ext cx="75" cy="4"/>
            </a:xfrm>
            <a:custGeom>
              <a:avLst/>
              <a:gdLst>
                <a:gd name="T0" fmla="*/ 0 w 75"/>
                <a:gd name="T1" fmla="*/ 1 h 4"/>
                <a:gd name="T2" fmla="*/ 0 w 75"/>
                <a:gd name="T3" fmla="*/ 4 h 4"/>
                <a:gd name="T4" fmla="*/ 75 w 75"/>
                <a:gd name="T5" fmla="*/ 4 h 4"/>
                <a:gd name="T6" fmla="*/ 75 w 75"/>
                <a:gd name="T7" fmla="*/ 0 h 4"/>
                <a:gd name="T8" fmla="*/ 0 w 75"/>
                <a:gd name="T9" fmla="*/ 0 h 4"/>
                <a:gd name="T10" fmla="*/ 0 w 75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4"/>
                <a:gd name="T20" fmla="*/ 75 w 7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4">
                  <a:moveTo>
                    <a:pt x="0" y="1"/>
                  </a:moveTo>
                  <a:lnTo>
                    <a:pt x="0" y="4"/>
                  </a:lnTo>
                  <a:lnTo>
                    <a:pt x="75" y="4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0" name="Freeform 40"/>
            <xdr:cNvSpPr>
              <a:spLocks/>
            </xdr:cNvSpPr>
          </xdr:nvSpPr>
          <xdr:spPr bwMode="auto">
            <a:xfrm>
              <a:off x="628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1" name="Freeform 41"/>
            <xdr:cNvSpPr>
              <a:spLocks/>
            </xdr:cNvSpPr>
          </xdr:nvSpPr>
          <xdr:spPr bwMode="auto">
            <a:xfrm>
              <a:off x="597" y="222"/>
              <a:ext cx="12" cy="18"/>
            </a:xfrm>
            <a:custGeom>
              <a:avLst/>
              <a:gdLst>
                <a:gd name="T0" fmla="*/ 11 w 12"/>
                <a:gd name="T1" fmla="*/ 1 h 18"/>
                <a:gd name="T2" fmla="*/ 10 w 12"/>
                <a:gd name="T3" fmla="*/ 0 h 18"/>
                <a:gd name="T4" fmla="*/ 0 w 12"/>
                <a:gd name="T5" fmla="*/ 16 h 18"/>
                <a:gd name="T6" fmla="*/ 1 w 12"/>
                <a:gd name="T7" fmla="*/ 18 h 18"/>
                <a:gd name="T8" fmla="*/ 12 w 12"/>
                <a:gd name="T9" fmla="*/ 3 h 18"/>
                <a:gd name="T10" fmla="*/ 1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1" y="1"/>
                  </a:move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lnTo>
                    <a:pt x="12" y="3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2" name="Freeform 42"/>
            <xdr:cNvSpPr>
              <a:spLocks/>
            </xdr:cNvSpPr>
          </xdr:nvSpPr>
          <xdr:spPr bwMode="auto">
            <a:xfrm>
              <a:off x="553" y="238"/>
              <a:ext cx="44" cy="4"/>
            </a:xfrm>
            <a:custGeom>
              <a:avLst/>
              <a:gdLst>
                <a:gd name="T0" fmla="*/ 44 w 44"/>
                <a:gd name="T1" fmla="*/ 1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1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3" name="Freeform 43"/>
            <xdr:cNvSpPr>
              <a:spLocks/>
            </xdr:cNvSpPr>
          </xdr:nvSpPr>
          <xdr:spPr bwMode="auto">
            <a:xfrm>
              <a:off x="552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4" name="Freeform 44"/>
            <xdr:cNvSpPr>
              <a:spLocks/>
            </xdr:cNvSpPr>
          </xdr:nvSpPr>
          <xdr:spPr bwMode="auto">
            <a:xfrm>
              <a:off x="618" y="248"/>
              <a:ext cx="11" cy="4"/>
            </a:xfrm>
            <a:custGeom>
              <a:avLst/>
              <a:gdLst>
                <a:gd name="T0" fmla="*/ 11 w 11"/>
                <a:gd name="T1" fmla="*/ 3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3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5" name="Freeform 45"/>
            <xdr:cNvSpPr>
              <a:spLocks/>
            </xdr:cNvSpPr>
          </xdr:nvSpPr>
          <xdr:spPr bwMode="auto">
            <a:xfrm>
              <a:off x="607" y="249"/>
              <a:ext cx="12" cy="20"/>
            </a:xfrm>
            <a:custGeom>
              <a:avLst/>
              <a:gdLst>
                <a:gd name="T0" fmla="*/ 1 w 12"/>
                <a:gd name="T1" fmla="*/ 18 h 20"/>
                <a:gd name="T2" fmla="*/ 2 w 12"/>
                <a:gd name="T3" fmla="*/ 20 h 20"/>
                <a:gd name="T4" fmla="*/ 12 w 12"/>
                <a:gd name="T5" fmla="*/ 3 h 20"/>
                <a:gd name="T6" fmla="*/ 10 w 12"/>
                <a:gd name="T7" fmla="*/ 0 h 20"/>
                <a:gd name="T8" fmla="*/ 0 w 12"/>
                <a:gd name="T9" fmla="*/ 16 h 20"/>
                <a:gd name="T10" fmla="*/ 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" y="18"/>
                  </a:moveTo>
                  <a:lnTo>
                    <a:pt x="2" y="20"/>
                  </a:lnTo>
                  <a:lnTo>
                    <a:pt x="12" y="3"/>
                  </a:ln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6" name="Freeform 46"/>
            <xdr:cNvSpPr>
              <a:spLocks/>
            </xdr:cNvSpPr>
          </xdr:nvSpPr>
          <xdr:spPr bwMode="auto">
            <a:xfrm>
              <a:off x="554" y="280"/>
              <a:ext cx="75" cy="5"/>
            </a:xfrm>
            <a:custGeom>
              <a:avLst/>
              <a:gdLst>
                <a:gd name="T0" fmla="*/ 0 w 75"/>
                <a:gd name="T1" fmla="*/ 2 h 5"/>
                <a:gd name="T2" fmla="*/ 0 w 75"/>
                <a:gd name="T3" fmla="*/ 5 h 5"/>
                <a:gd name="T4" fmla="*/ 75 w 75"/>
                <a:gd name="T5" fmla="*/ 5 h 5"/>
                <a:gd name="T6" fmla="*/ 75 w 75"/>
                <a:gd name="T7" fmla="*/ 0 h 5"/>
                <a:gd name="T8" fmla="*/ 0 w 75"/>
                <a:gd name="T9" fmla="*/ 0 h 5"/>
                <a:gd name="T10" fmla="*/ 0 w 75"/>
                <a:gd name="T11" fmla="*/ 2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5"/>
                <a:gd name="T20" fmla="*/ 75 w 7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5">
                  <a:moveTo>
                    <a:pt x="0" y="2"/>
                  </a:moveTo>
                  <a:lnTo>
                    <a:pt x="0" y="5"/>
                  </a:lnTo>
                  <a:lnTo>
                    <a:pt x="75" y="5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7" name="Freeform 47"/>
            <xdr:cNvSpPr>
              <a:spLocks/>
            </xdr:cNvSpPr>
          </xdr:nvSpPr>
          <xdr:spPr bwMode="auto">
            <a:xfrm>
              <a:off x="628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8" name="Freeform 48"/>
            <xdr:cNvSpPr>
              <a:spLocks/>
            </xdr:cNvSpPr>
          </xdr:nvSpPr>
          <xdr:spPr bwMode="auto">
            <a:xfrm>
              <a:off x="597" y="249"/>
              <a:ext cx="12" cy="20"/>
            </a:xfrm>
            <a:custGeom>
              <a:avLst/>
              <a:gdLst>
                <a:gd name="T0" fmla="*/ 11 w 12"/>
                <a:gd name="T1" fmla="*/ 18 h 20"/>
                <a:gd name="T2" fmla="*/ 12 w 12"/>
                <a:gd name="T3" fmla="*/ 16 h 20"/>
                <a:gd name="T4" fmla="*/ 1 w 12"/>
                <a:gd name="T5" fmla="*/ 0 h 20"/>
                <a:gd name="T6" fmla="*/ 0 w 12"/>
                <a:gd name="T7" fmla="*/ 3 h 20"/>
                <a:gd name="T8" fmla="*/ 10 w 12"/>
                <a:gd name="T9" fmla="*/ 20 h 20"/>
                <a:gd name="T10" fmla="*/ 1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1" y="18"/>
                  </a:moveTo>
                  <a:lnTo>
                    <a:pt x="12" y="16"/>
                  </a:lnTo>
                  <a:lnTo>
                    <a:pt x="1" y="0"/>
                  </a:lnTo>
                  <a:lnTo>
                    <a:pt x="0" y="3"/>
                  </a:lnTo>
                  <a:lnTo>
                    <a:pt x="10" y="20"/>
                  </a:lnTo>
                  <a:lnTo>
                    <a:pt x="1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9" name="Freeform 49"/>
            <xdr:cNvSpPr>
              <a:spLocks/>
            </xdr:cNvSpPr>
          </xdr:nvSpPr>
          <xdr:spPr bwMode="auto">
            <a:xfrm>
              <a:off x="553" y="248"/>
              <a:ext cx="44" cy="4"/>
            </a:xfrm>
            <a:custGeom>
              <a:avLst/>
              <a:gdLst>
                <a:gd name="T0" fmla="*/ 44 w 44"/>
                <a:gd name="T1" fmla="*/ 3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3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0" name="Freeform 50"/>
            <xdr:cNvSpPr>
              <a:spLocks/>
            </xdr:cNvSpPr>
          </xdr:nvSpPr>
          <xdr:spPr bwMode="auto">
            <a:xfrm>
              <a:off x="552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1" name="Oval 51"/>
            <xdr:cNvSpPr>
              <a:spLocks noChangeArrowheads="1"/>
            </xdr:cNvSpPr>
          </xdr:nvSpPr>
          <xdr:spPr bwMode="auto">
            <a:xfrm>
              <a:off x="603" y="233"/>
              <a:ext cx="9" cy="18"/>
            </a:xfrm>
            <a:prstGeom prst="ellipse">
              <a:avLst/>
            </a:prstGeom>
            <a:solidFill>
              <a:srgbClr val="A9A8A7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2" name="Freeform 52"/>
            <xdr:cNvSpPr>
              <a:spLocks/>
            </xdr:cNvSpPr>
          </xdr:nvSpPr>
          <xdr:spPr bwMode="auto">
            <a:xfrm>
              <a:off x="602" y="233"/>
              <a:ext cx="6" cy="9"/>
            </a:xfrm>
            <a:custGeom>
              <a:avLst/>
              <a:gdLst>
                <a:gd name="T0" fmla="*/ 2 w 6"/>
                <a:gd name="T1" fmla="*/ 9 h 9"/>
                <a:gd name="T2" fmla="*/ 2 w 6"/>
                <a:gd name="T3" fmla="*/ 9 h 9"/>
                <a:gd name="T4" fmla="*/ 2 w 6"/>
                <a:gd name="T5" fmla="*/ 7 h 9"/>
                <a:gd name="T6" fmla="*/ 2 w 6"/>
                <a:gd name="T7" fmla="*/ 6 h 9"/>
                <a:gd name="T8" fmla="*/ 2 w 6"/>
                <a:gd name="T9" fmla="*/ 5 h 9"/>
                <a:gd name="T10" fmla="*/ 2 w 6"/>
                <a:gd name="T11" fmla="*/ 3 h 9"/>
                <a:gd name="T12" fmla="*/ 3 w 6"/>
                <a:gd name="T13" fmla="*/ 3 h 9"/>
                <a:gd name="T14" fmla="*/ 4 w 6"/>
                <a:gd name="T15" fmla="*/ 2 h 9"/>
                <a:gd name="T16" fmla="*/ 5 w 6"/>
                <a:gd name="T17" fmla="*/ 2 h 9"/>
                <a:gd name="T18" fmla="*/ 6 w 6"/>
                <a:gd name="T19" fmla="*/ 2 h 9"/>
                <a:gd name="T20" fmla="*/ 6 w 6"/>
                <a:gd name="T21" fmla="*/ 0 h 9"/>
                <a:gd name="T22" fmla="*/ 4 w 6"/>
                <a:gd name="T23" fmla="*/ 0 h 9"/>
                <a:gd name="T24" fmla="*/ 3 w 6"/>
                <a:gd name="T25" fmla="*/ 0 h 9"/>
                <a:gd name="T26" fmla="*/ 2 w 6"/>
                <a:gd name="T27" fmla="*/ 2 h 9"/>
                <a:gd name="T28" fmla="*/ 2 w 6"/>
                <a:gd name="T29" fmla="*/ 2 h 9"/>
                <a:gd name="T30" fmla="*/ 2 w 6"/>
                <a:gd name="T31" fmla="*/ 3 h 9"/>
                <a:gd name="T32" fmla="*/ 1 w 6"/>
                <a:gd name="T33" fmla="*/ 5 h 9"/>
                <a:gd name="T34" fmla="*/ 1 w 6"/>
                <a:gd name="T35" fmla="*/ 7 h 9"/>
                <a:gd name="T36" fmla="*/ 0 w 6"/>
                <a:gd name="T37" fmla="*/ 9 h 9"/>
                <a:gd name="T38" fmla="*/ 0 w 6"/>
                <a:gd name="T39" fmla="*/ 9 h 9"/>
                <a:gd name="T40" fmla="*/ 2 w 6"/>
                <a:gd name="T41" fmla="*/ 9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2" y="9"/>
                  </a:moveTo>
                  <a:lnTo>
                    <a:pt x="2" y="9"/>
                  </a:lnTo>
                  <a:lnTo>
                    <a:pt x="2" y="7"/>
                  </a:lnTo>
                  <a:lnTo>
                    <a:pt x="2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2" y="9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" name="Freeform 53"/>
            <xdr:cNvSpPr>
              <a:spLocks/>
            </xdr:cNvSpPr>
          </xdr:nvSpPr>
          <xdr:spPr bwMode="auto">
            <a:xfrm>
              <a:off x="602" y="242"/>
              <a:ext cx="6" cy="9"/>
            </a:xfrm>
            <a:custGeom>
              <a:avLst/>
              <a:gdLst>
                <a:gd name="T0" fmla="*/ 6 w 6"/>
                <a:gd name="T1" fmla="*/ 7 h 9"/>
                <a:gd name="T2" fmla="*/ 6 w 6"/>
                <a:gd name="T3" fmla="*/ 7 h 9"/>
                <a:gd name="T4" fmla="*/ 5 w 6"/>
                <a:gd name="T5" fmla="*/ 7 h 9"/>
                <a:gd name="T6" fmla="*/ 4 w 6"/>
                <a:gd name="T7" fmla="*/ 7 h 9"/>
                <a:gd name="T8" fmla="*/ 3 w 6"/>
                <a:gd name="T9" fmla="*/ 6 h 9"/>
                <a:gd name="T10" fmla="*/ 2 w 6"/>
                <a:gd name="T11" fmla="*/ 4 h 9"/>
                <a:gd name="T12" fmla="*/ 2 w 6"/>
                <a:gd name="T13" fmla="*/ 4 h 9"/>
                <a:gd name="T14" fmla="*/ 2 w 6"/>
                <a:gd name="T15" fmla="*/ 3 h 9"/>
                <a:gd name="T16" fmla="*/ 2 w 6"/>
                <a:gd name="T17" fmla="*/ 1 h 9"/>
                <a:gd name="T18" fmla="*/ 2 w 6"/>
                <a:gd name="T19" fmla="*/ 0 h 9"/>
                <a:gd name="T20" fmla="*/ 0 w 6"/>
                <a:gd name="T21" fmla="*/ 0 h 9"/>
                <a:gd name="T22" fmla="*/ 1 w 6"/>
                <a:gd name="T23" fmla="*/ 1 h 9"/>
                <a:gd name="T24" fmla="*/ 1 w 6"/>
                <a:gd name="T25" fmla="*/ 3 h 9"/>
                <a:gd name="T26" fmla="*/ 2 w 6"/>
                <a:gd name="T27" fmla="*/ 6 h 9"/>
                <a:gd name="T28" fmla="*/ 2 w 6"/>
                <a:gd name="T29" fmla="*/ 6 h 9"/>
                <a:gd name="T30" fmla="*/ 2 w 6"/>
                <a:gd name="T31" fmla="*/ 7 h 9"/>
                <a:gd name="T32" fmla="*/ 3 w 6"/>
                <a:gd name="T33" fmla="*/ 9 h 9"/>
                <a:gd name="T34" fmla="*/ 4 w 6"/>
                <a:gd name="T35" fmla="*/ 9 h 9"/>
                <a:gd name="T36" fmla="*/ 6 w 6"/>
                <a:gd name="T37" fmla="*/ 9 h 9"/>
                <a:gd name="T38" fmla="*/ 6 w 6"/>
                <a:gd name="T39" fmla="*/ 9 h 9"/>
                <a:gd name="T40" fmla="*/ 6 w 6"/>
                <a:gd name="T41" fmla="*/ 7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6" y="7"/>
                  </a:moveTo>
                  <a:lnTo>
                    <a:pt x="6" y="7"/>
                  </a:lnTo>
                  <a:lnTo>
                    <a:pt x="5" y="7"/>
                  </a:lnTo>
                  <a:lnTo>
                    <a:pt x="4" y="7"/>
                  </a:lnTo>
                  <a:lnTo>
                    <a:pt x="3" y="6"/>
                  </a:lnTo>
                  <a:lnTo>
                    <a:pt x="2" y="4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1" y="1"/>
                  </a:lnTo>
                  <a:lnTo>
                    <a:pt x="1" y="3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6" y="9"/>
                  </a:lnTo>
                  <a:lnTo>
                    <a:pt x="6" y="7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4" name="Freeform 54"/>
            <xdr:cNvSpPr>
              <a:spLocks/>
            </xdr:cNvSpPr>
          </xdr:nvSpPr>
          <xdr:spPr bwMode="auto">
            <a:xfrm>
              <a:off x="608" y="242"/>
              <a:ext cx="5" cy="9"/>
            </a:xfrm>
            <a:custGeom>
              <a:avLst/>
              <a:gdLst>
                <a:gd name="T0" fmla="*/ 4 w 5"/>
                <a:gd name="T1" fmla="*/ 0 h 9"/>
                <a:gd name="T2" fmla="*/ 4 w 5"/>
                <a:gd name="T3" fmla="*/ 0 h 9"/>
                <a:gd name="T4" fmla="*/ 3 w 5"/>
                <a:gd name="T5" fmla="*/ 1 h 9"/>
                <a:gd name="T6" fmla="*/ 3 w 5"/>
                <a:gd name="T7" fmla="*/ 3 h 9"/>
                <a:gd name="T8" fmla="*/ 3 w 5"/>
                <a:gd name="T9" fmla="*/ 4 h 9"/>
                <a:gd name="T10" fmla="*/ 3 w 5"/>
                <a:gd name="T11" fmla="*/ 4 h 9"/>
                <a:gd name="T12" fmla="*/ 2 w 5"/>
                <a:gd name="T13" fmla="*/ 6 h 9"/>
                <a:gd name="T14" fmla="*/ 2 w 5"/>
                <a:gd name="T15" fmla="*/ 7 h 9"/>
                <a:gd name="T16" fmla="*/ 1 w 5"/>
                <a:gd name="T17" fmla="*/ 7 h 9"/>
                <a:gd name="T18" fmla="*/ 0 w 5"/>
                <a:gd name="T19" fmla="*/ 7 h 9"/>
                <a:gd name="T20" fmla="*/ 0 w 5"/>
                <a:gd name="T21" fmla="*/ 9 h 9"/>
                <a:gd name="T22" fmla="*/ 1 w 5"/>
                <a:gd name="T23" fmla="*/ 9 h 9"/>
                <a:gd name="T24" fmla="*/ 2 w 5"/>
                <a:gd name="T25" fmla="*/ 9 h 9"/>
                <a:gd name="T26" fmla="*/ 3 w 5"/>
                <a:gd name="T27" fmla="*/ 7 h 9"/>
                <a:gd name="T28" fmla="*/ 3 w 5"/>
                <a:gd name="T29" fmla="*/ 6 h 9"/>
                <a:gd name="T30" fmla="*/ 4 w 5"/>
                <a:gd name="T31" fmla="*/ 6 h 9"/>
                <a:gd name="T32" fmla="*/ 4 w 5"/>
                <a:gd name="T33" fmla="*/ 3 h 9"/>
                <a:gd name="T34" fmla="*/ 5 w 5"/>
                <a:gd name="T35" fmla="*/ 1 h 9"/>
                <a:gd name="T36" fmla="*/ 5 w 5"/>
                <a:gd name="T37" fmla="*/ 0 h 9"/>
                <a:gd name="T38" fmla="*/ 5 w 5"/>
                <a:gd name="T39" fmla="*/ 0 h 9"/>
                <a:gd name="T40" fmla="*/ 4 w 5"/>
                <a:gd name="T41" fmla="*/ 0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3" y="4"/>
                  </a:lnTo>
                  <a:lnTo>
                    <a:pt x="2" y="6"/>
                  </a:lnTo>
                  <a:lnTo>
                    <a:pt x="2" y="7"/>
                  </a:lnTo>
                  <a:lnTo>
                    <a:pt x="1" y="7"/>
                  </a:lnTo>
                  <a:lnTo>
                    <a:pt x="0" y="7"/>
                  </a:lnTo>
                  <a:lnTo>
                    <a:pt x="0" y="9"/>
                  </a:lnTo>
                  <a:lnTo>
                    <a:pt x="1" y="9"/>
                  </a:lnTo>
                  <a:lnTo>
                    <a:pt x="2" y="9"/>
                  </a:lnTo>
                  <a:lnTo>
                    <a:pt x="3" y="7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3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5" name="Freeform 55"/>
            <xdr:cNvSpPr>
              <a:spLocks/>
            </xdr:cNvSpPr>
          </xdr:nvSpPr>
          <xdr:spPr bwMode="auto">
            <a:xfrm>
              <a:off x="608" y="233"/>
              <a:ext cx="5" cy="9"/>
            </a:xfrm>
            <a:custGeom>
              <a:avLst/>
              <a:gdLst>
                <a:gd name="T0" fmla="*/ 0 w 5"/>
                <a:gd name="T1" fmla="*/ 2 h 9"/>
                <a:gd name="T2" fmla="*/ 0 w 5"/>
                <a:gd name="T3" fmla="*/ 2 h 9"/>
                <a:gd name="T4" fmla="*/ 1 w 5"/>
                <a:gd name="T5" fmla="*/ 2 h 9"/>
                <a:gd name="T6" fmla="*/ 2 w 5"/>
                <a:gd name="T7" fmla="*/ 2 h 9"/>
                <a:gd name="T8" fmla="*/ 2 w 5"/>
                <a:gd name="T9" fmla="*/ 3 h 9"/>
                <a:gd name="T10" fmla="*/ 3 w 5"/>
                <a:gd name="T11" fmla="*/ 3 h 9"/>
                <a:gd name="T12" fmla="*/ 3 w 5"/>
                <a:gd name="T13" fmla="*/ 5 h 9"/>
                <a:gd name="T14" fmla="*/ 3 w 5"/>
                <a:gd name="T15" fmla="*/ 6 h 9"/>
                <a:gd name="T16" fmla="*/ 3 w 5"/>
                <a:gd name="T17" fmla="*/ 7 h 9"/>
                <a:gd name="T18" fmla="*/ 4 w 5"/>
                <a:gd name="T19" fmla="*/ 9 h 9"/>
                <a:gd name="T20" fmla="*/ 5 w 5"/>
                <a:gd name="T21" fmla="*/ 9 h 9"/>
                <a:gd name="T22" fmla="*/ 5 w 5"/>
                <a:gd name="T23" fmla="*/ 7 h 9"/>
                <a:gd name="T24" fmla="*/ 4 w 5"/>
                <a:gd name="T25" fmla="*/ 5 h 9"/>
                <a:gd name="T26" fmla="*/ 4 w 5"/>
                <a:gd name="T27" fmla="*/ 3 h 9"/>
                <a:gd name="T28" fmla="*/ 3 w 5"/>
                <a:gd name="T29" fmla="*/ 2 h 9"/>
                <a:gd name="T30" fmla="*/ 3 w 5"/>
                <a:gd name="T31" fmla="*/ 2 h 9"/>
                <a:gd name="T32" fmla="*/ 2 w 5"/>
                <a:gd name="T33" fmla="*/ 0 h 9"/>
                <a:gd name="T34" fmla="*/ 1 w 5"/>
                <a:gd name="T35" fmla="*/ 0 h 9"/>
                <a:gd name="T36" fmla="*/ 0 w 5"/>
                <a:gd name="T37" fmla="*/ 0 h 9"/>
                <a:gd name="T38" fmla="*/ 0 w 5"/>
                <a:gd name="T39" fmla="*/ 0 h 9"/>
                <a:gd name="T40" fmla="*/ 0 w 5"/>
                <a:gd name="T41" fmla="*/ 2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0" y="2"/>
                  </a:moveTo>
                  <a:lnTo>
                    <a:pt x="0" y="2"/>
                  </a:lnTo>
                  <a:lnTo>
                    <a:pt x="1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3" y="3"/>
                  </a:lnTo>
                  <a:lnTo>
                    <a:pt x="3" y="5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  <xdr:twoCellAnchor>
    <xdr:from>
      <xdr:col>5</xdr:col>
      <xdr:colOff>600075</xdr:colOff>
      <xdr:row>0</xdr:row>
      <xdr:rowOff>47625</xdr:rowOff>
    </xdr:from>
    <xdr:to>
      <xdr:col>6</xdr:col>
      <xdr:colOff>692151</xdr:colOff>
      <xdr:row>4</xdr:row>
      <xdr:rowOff>98425</xdr:rowOff>
    </xdr:to>
    <xdr:sp macro="" textlink="">
      <xdr:nvSpPr>
        <xdr:cNvPr id="106" name="105 CuadroTexto"/>
        <xdr:cNvSpPr txBox="1"/>
      </xdr:nvSpPr>
      <xdr:spPr>
        <a:xfrm>
          <a:off x="5543550" y="47625"/>
          <a:ext cx="844551" cy="7366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200"/>
            <a:t>ORIGINAL</a:t>
          </a:r>
        </a:p>
        <a:p>
          <a:pPr algn="ctr"/>
          <a:endParaRPr lang="es-AR" sz="1200"/>
        </a:p>
        <a:p>
          <a:pPr algn="ctr"/>
          <a:endParaRPr lang="es-AR" sz="1200"/>
        </a:p>
        <a:p>
          <a:pPr algn="ctr"/>
          <a:r>
            <a:rPr lang="es-AR" sz="1200"/>
            <a:t>FOLIO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214312</xdr:colOff>
      <xdr:row>0</xdr:row>
      <xdr:rowOff>47625</xdr:rowOff>
    </xdr:from>
    <xdr:to>
      <xdr:col>5</xdr:col>
      <xdr:colOff>1058863</xdr:colOff>
      <xdr:row>4</xdr:row>
      <xdr:rowOff>98425</xdr:rowOff>
    </xdr:to>
    <xdr:sp macro="" textlink="">
      <xdr:nvSpPr>
        <xdr:cNvPr id="53" name="52 CuadroTexto"/>
        <xdr:cNvSpPr txBox="1"/>
      </xdr:nvSpPr>
      <xdr:spPr>
        <a:xfrm>
          <a:off x="5214937" y="47625"/>
          <a:ext cx="844551" cy="7493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200"/>
            <a:t>ORIGINAL</a:t>
          </a:r>
        </a:p>
        <a:p>
          <a:pPr algn="ctr"/>
          <a:endParaRPr lang="es-AR" sz="1200"/>
        </a:p>
        <a:p>
          <a:pPr algn="ctr"/>
          <a:endParaRPr lang="es-AR" sz="1200"/>
        </a:p>
        <a:p>
          <a:pPr algn="ctr"/>
          <a:r>
            <a:rPr lang="es-AR" sz="1200"/>
            <a:t>FOLIO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4</xdr:col>
      <xdr:colOff>515728</xdr:colOff>
      <xdr:row>4</xdr:row>
      <xdr:rowOff>157162</xdr:rowOff>
    </xdr:to>
    <xdr:grpSp>
      <xdr:nvGrpSpPr>
        <xdr:cNvPr id="54" name="Group 5"/>
        <xdr:cNvGrpSpPr>
          <a:grpSpLocks/>
        </xdr:cNvGrpSpPr>
      </xdr:nvGrpSpPr>
      <xdr:grpSpPr bwMode="auto">
        <a:xfrm>
          <a:off x="47625" y="66675"/>
          <a:ext cx="4563853" cy="776287"/>
          <a:chOff x="112" y="156"/>
          <a:chExt cx="519" cy="129"/>
        </a:xfrm>
      </xdr:grpSpPr>
      <xdr:sp macro="" textlink="">
        <xdr:nvSpPr>
          <xdr:cNvPr id="55" name="Text Box 6"/>
          <xdr:cNvSpPr txBox="1">
            <a:spLocks noChangeArrowheads="1"/>
          </xdr:cNvSpPr>
        </xdr:nvSpPr>
        <xdr:spPr bwMode="auto">
          <a:xfrm>
            <a:off x="112" y="196"/>
            <a:ext cx="458" cy="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Av. Alvear N° 1448 - Esquel - Chubut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Tel/Fax (02945)451003 E-Mail: administracionpasquini@speedy.com.ar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C.U.I.T 30-67034174-3 L.C. N° 03117 I.B. 01091  I.E.R.I.C. N° 73589 4</a:t>
            </a:r>
          </a:p>
          <a:p>
            <a:pPr algn="l" rtl="1">
              <a:defRPr sz="1000"/>
            </a:pPr>
            <a:endParaRPr lang="es-AR" sz="1000" b="1" i="0" strike="noStrike">
              <a:solidFill>
                <a:srgbClr val="000000"/>
              </a:solidFill>
              <a:latin typeface="Swis721 Ex BT"/>
            </a:endParaRPr>
          </a:p>
        </xdr:txBody>
      </xdr:sp>
      <xdr:grpSp>
        <xdr:nvGrpSpPr>
          <xdr:cNvPr id="56" name="Group 7"/>
          <xdr:cNvGrpSpPr>
            <a:grpSpLocks/>
          </xdr:cNvGrpSpPr>
        </xdr:nvGrpSpPr>
        <xdr:grpSpPr bwMode="auto">
          <a:xfrm>
            <a:off x="116" y="156"/>
            <a:ext cx="515" cy="129"/>
            <a:chOff x="116" y="156"/>
            <a:chExt cx="515" cy="129"/>
          </a:xfrm>
        </xdr:grpSpPr>
        <xdr:sp macro="" textlink="">
          <xdr:nvSpPr>
            <xdr:cNvPr id="57" name="Freeform 8"/>
            <xdr:cNvSpPr>
              <a:spLocks noEditPoints="1"/>
            </xdr:cNvSpPr>
          </xdr:nvSpPr>
          <xdr:spPr bwMode="auto">
            <a:xfrm>
              <a:off x="11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9 w 21"/>
                <a:gd name="T5" fmla="*/ 24 h 25"/>
                <a:gd name="T6" fmla="*/ 10 w 21"/>
                <a:gd name="T7" fmla="*/ 25 h 25"/>
                <a:gd name="T8" fmla="*/ 0 w 21"/>
                <a:gd name="T9" fmla="*/ 24 h 25"/>
                <a:gd name="T10" fmla="*/ 1 w 21"/>
                <a:gd name="T11" fmla="*/ 24 h 25"/>
                <a:gd name="T12" fmla="*/ 3 w 21"/>
                <a:gd name="T13" fmla="*/ 24 h 25"/>
                <a:gd name="T14" fmla="*/ 3 w 21"/>
                <a:gd name="T15" fmla="*/ 21 h 25"/>
                <a:gd name="T16" fmla="*/ 8 w 21"/>
                <a:gd name="T17" fmla="*/ 3 h 25"/>
                <a:gd name="T18" fmla="*/ 7 w 21"/>
                <a:gd name="T19" fmla="*/ 2 h 25"/>
                <a:gd name="T20" fmla="*/ 6 w 21"/>
                <a:gd name="T21" fmla="*/ 0 h 25"/>
                <a:gd name="T22" fmla="*/ 15 w 21"/>
                <a:gd name="T23" fmla="*/ 0 h 25"/>
                <a:gd name="T24" fmla="*/ 16 w 21"/>
                <a:gd name="T25" fmla="*/ 0 h 25"/>
                <a:gd name="T26" fmla="*/ 18 w 21"/>
                <a:gd name="T27" fmla="*/ 2 h 25"/>
                <a:gd name="T28" fmla="*/ 19 w 21"/>
                <a:gd name="T29" fmla="*/ 3 h 25"/>
                <a:gd name="T30" fmla="*/ 20 w 21"/>
                <a:gd name="T31" fmla="*/ 5 h 25"/>
                <a:gd name="T32" fmla="*/ 21 w 21"/>
                <a:gd name="T33" fmla="*/ 6 h 25"/>
                <a:gd name="T34" fmla="*/ 21 w 21"/>
                <a:gd name="T35" fmla="*/ 9 h 25"/>
                <a:gd name="T36" fmla="*/ 20 w 21"/>
                <a:gd name="T37" fmla="*/ 11 h 25"/>
                <a:gd name="T38" fmla="*/ 19 w 21"/>
                <a:gd name="T39" fmla="*/ 12 h 25"/>
                <a:gd name="T40" fmla="*/ 17 w 21"/>
                <a:gd name="T41" fmla="*/ 13 h 25"/>
                <a:gd name="T42" fmla="*/ 15 w 21"/>
                <a:gd name="T43" fmla="*/ 13 h 25"/>
                <a:gd name="T44" fmla="*/ 14 w 21"/>
                <a:gd name="T45" fmla="*/ 13 h 25"/>
                <a:gd name="T46" fmla="*/ 12 w 21"/>
                <a:gd name="T47" fmla="*/ 13 h 25"/>
                <a:gd name="T48" fmla="*/ 10 w 21"/>
                <a:gd name="T49" fmla="*/ 13 h 25"/>
                <a:gd name="T50" fmla="*/ 10 w 21"/>
                <a:gd name="T51" fmla="*/ 13 h 25"/>
                <a:gd name="T52" fmla="*/ 12 w 21"/>
                <a:gd name="T53" fmla="*/ 13 h 25"/>
                <a:gd name="T54" fmla="*/ 14 w 21"/>
                <a:gd name="T55" fmla="*/ 12 h 25"/>
                <a:gd name="T56" fmla="*/ 15 w 21"/>
                <a:gd name="T57" fmla="*/ 11 h 25"/>
                <a:gd name="T58" fmla="*/ 16 w 21"/>
                <a:gd name="T59" fmla="*/ 8 h 25"/>
                <a:gd name="T60" fmla="*/ 16 w 21"/>
                <a:gd name="T61" fmla="*/ 5 h 25"/>
                <a:gd name="T62" fmla="*/ 15 w 21"/>
                <a:gd name="T63" fmla="*/ 2 h 25"/>
                <a:gd name="T64" fmla="*/ 14 w 21"/>
                <a:gd name="T65" fmla="*/ 2 h 25"/>
                <a:gd name="T66" fmla="*/ 10 w 21"/>
                <a:gd name="T67" fmla="*/ 13 h 25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1"/>
                <a:gd name="T103" fmla="*/ 0 h 25"/>
                <a:gd name="T104" fmla="*/ 21 w 21"/>
                <a:gd name="T105" fmla="*/ 25 h 25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1" h="25">
                  <a:moveTo>
                    <a:pt x="9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8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lnTo>
                    <a:pt x="9" y="13"/>
                  </a:lnTo>
                  <a:close/>
                  <a:moveTo>
                    <a:pt x="10" y="13"/>
                  </a:moveTo>
                  <a:lnTo>
                    <a:pt x="11" y="13"/>
                  </a:lnTo>
                  <a:lnTo>
                    <a:pt x="12" y="13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3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58" name="Freeform 9"/>
            <xdr:cNvSpPr>
              <a:spLocks noEditPoints="1"/>
            </xdr:cNvSpPr>
          </xdr:nvSpPr>
          <xdr:spPr bwMode="auto">
            <a:xfrm>
              <a:off x="133" y="156"/>
              <a:ext cx="20" cy="25"/>
            </a:xfrm>
            <a:custGeom>
              <a:avLst/>
              <a:gdLst>
                <a:gd name="T0" fmla="*/ 14 w 20"/>
                <a:gd name="T1" fmla="*/ 16 h 25"/>
                <a:gd name="T2" fmla="*/ 7 w 20"/>
                <a:gd name="T3" fmla="*/ 16 h 25"/>
                <a:gd name="T4" fmla="*/ 6 w 20"/>
                <a:gd name="T5" fmla="*/ 19 h 25"/>
                <a:gd name="T6" fmla="*/ 4 w 20"/>
                <a:gd name="T7" fmla="*/ 21 h 25"/>
                <a:gd name="T8" fmla="*/ 3 w 20"/>
                <a:gd name="T9" fmla="*/ 22 h 25"/>
                <a:gd name="T10" fmla="*/ 3 w 20"/>
                <a:gd name="T11" fmla="*/ 24 h 25"/>
                <a:gd name="T12" fmla="*/ 4 w 20"/>
                <a:gd name="T13" fmla="*/ 24 h 25"/>
                <a:gd name="T14" fmla="*/ 5 w 20"/>
                <a:gd name="T15" fmla="*/ 24 h 25"/>
                <a:gd name="T16" fmla="*/ 5 w 20"/>
                <a:gd name="T17" fmla="*/ 25 h 25"/>
                <a:gd name="T18" fmla="*/ 0 w 20"/>
                <a:gd name="T19" fmla="*/ 25 h 25"/>
                <a:gd name="T20" fmla="*/ 0 w 20"/>
                <a:gd name="T21" fmla="*/ 24 h 25"/>
                <a:gd name="T22" fmla="*/ 0 w 20"/>
                <a:gd name="T23" fmla="*/ 24 h 25"/>
                <a:gd name="T24" fmla="*/ 1 w 20"/>
                <a:gd name="T25" fmla="*/ 24 h 25"/>
                <a:gd name="T26" fmla="*/ 2 w 20"/>
                <a:gd name="T27" fmla="*/ 22 h 25"/>
                <a:gd name="T28" fmla="*/ 3 w 20"/>
                <a:gd name="T29" fmla="*/ 21 h 25"/>
                <a:gd name="T30" fmla="*/ 17 w 20"/>
                <a:gd name="T31" fmla="*/ 0 h 25"/>
                <a:gd name="T32" fmla="*/ 18 w 20"/>
                <a:gd name="T33" fmla="*/ 0 h 25"/>
                <a:gd name="T34" fmla="*/ 18 w 20"/>
                <a:gd name="T35" fmla="*/ 19 h 25"/>
                <a:gd name="T36" fmla="*/ 18 w 20"/>
                <a:gd name="T37" fmla="*/ 21 h 25"/>
                <a:gd name="T38" fmla="*/ 18 w 20"/>
                <a:gd name="T39" fmla="*/ 22 h 25"/>
                <a:gd name="T40" fmla="*/ 18 w 20"/>
                <a:gd name="T41" fmla="*/ 24 h 25"/>
                <a:gd name="T42" fmla="*/ 19 w 20"/>
                <a:gd name="T43" fmla="*/ 24 h 25"/>
                <a:gd name="T44" fmla="*/ 20 w 20"/>
                <a:gd name="T45" fmla="*/ 24 h 25"/>
                <a:gd name="T46" fmla="*/ 20 w 20"/>
                <a:gd name="T47" fmla="*/ 25 h 25"/>
                <a:gd name="T48" fmla="*/ 11 w 20"/>
                <a:gd name="T49" fmla="*/ 25 h 25"/>
                <a:gd name="T50" fmla="*/ 11 w 20"/>
                <a:gd name="T51" fmla="*/ 24 h 25"/>
                <a:gd name="T52" fmla="*/ 12 w 20"/>
                <a:gd name="T53" fmla="*/ 24 h 25"/>
                <a:gd name="T54" fmla="*/ 13 w 20"/>
                <a:gd name="T55" fmla="*/ 24 h 25"/>
                <a:gd name="T56" fmla="*/ 14 w 20"/>
                <a:gd name="T57" fmla="*/ 24 h 25"/>
                <a:gd name="T58" fmla="*/ 14 w 20"/>
                <a:gd name="T59" fmla="*/ 22 h 25"/>
                <a:gd name="T60" fmla="*/ 14 w 20"/>
                <a:gd name="T61" fmla="*/ 21 h 25"/>
                <a:gd name="T62" fmla="*/ 14 w 20"/>
                <a:gd name="T63" fmla="*/ 16 h 25"/>
                <a:gd name="T64" fmla="*/ 14 w 20"/>
                <a:gd name="T65" fmla="*/ 16 h 25"/>
                <a:gd name="T66" fmla="*/ 14 w 20"/>
                <a:gd name="T67" fmla="*/ 8 h 25"/>
                <a:gd name="T68" fmla="*/ 7 w 20"/>
                <a:gd name="T69" fmla="*/ 16 h 25"/>
                <a:gd name="T70" fmla="*/ 14 w 20"/>
                <a:gd name="T71" fmla="*/ 16 h 25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0"/>
                <a:gd name="T109" fmla="*/ 0 h 25"/>
                <a:gd name="T110" fmla="*/ 20 w 20"/>
                <a:gd name="T111" fmla="*/ 25 h 25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0" h="25">
                  <a:moveTo>
                    <a:pt x="14" y="16"/>
                  </a:moveTo>
                  <a:lnTo>
                    <a:pt x="7" y="16"/>
                  </a:lnTo>
                  <a:lnTo>
                    <a:pt x="6" y="19"/>
                  </a:lnTo>
                  <a:lnTo>
                    <a:pt x="4" y="21"/>
                  </a:lnTo>
                  <a:lnTo>
                    <a:pt x="3" y="22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5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2"/>
                  </a:lnTo>
                  <a:lnTo>
                    <a:pt x="3" y="21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8" y="19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0" y="25"/>
                  </a:lnTo>
                  <a:lnTo>
                    <a:pt x="11" y="25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4" y="22"/>
                  </a:lnTo>
                  <a:lnTo>
                    <a:pt x="14" y="21"/>
                  </a:lnTo>
                  <a:lnTo>
                    <a:pt x="14" y="16"/>
                  </a:lnTo>
                  <a:close/>
                  <a:moveTo>
                    <a:pt x="14" y="16"/>
                  </a:moveTo>
                  <a:lnTo>
                    <a:pt x="14" y="8"/>
                  </a:lnTo>
                  <a:lnTo>
                    <a:pt x="7" y="16"/>
                  </a:lnTo>
                  <a:lnTo>
                    <a:pt x="14" y="16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59" name="Freeform 10"/>
            <xdr:cNvSpPr>
              <a:spLocks/>
            </xdr:cNvSpPr>
          </xdr:nvSpPr>
          <xdr:spPr bwMode="auto">
            <a:xfrm>
              <a:off x="154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0" name="Freeform 11"/>
            <xdr:cNvSpPr>
              <a:spLocks noEditPoints="1"/>
            </xdr:cNvSpPr>
          </xdr:nvSpPr>
          <xdr:spPr bwMode="auto">
            <a:xfrm>
              <a:off x="174" y="156"/>
              <a:ext cx="20" cy="32"/>
            </a:xfrm>
            <a:custGeom>
              <a:avLst/>
              <a:gdLst>
                <a:gd name="T0" fmla="*/ 5 w 20"/>
                <a:gd name="T1" fmla="*/ 27 h 32"/>
                <a:gd name="T2" fmla="*/ 8 w 20"/>
                <a:gd name="T3" fmla="*/ 27 h 32"/>
                <a:gd name="T4" fmla="*/ 10 w 20"/>
                <a:gd name="T5" fmla="*/ 27 h 32"/>
                <a:gd name="T6" fmla="*/ 12 w 20"/>
                <a:gd name="T7" fmla="*/ 29 h 32"/>
                <a:gd name="T8" fmla="*/ 15 w 20"/>
                <a:gd name="T9" fmla="*/ 29 h 32"/>
                <a:gd name="T10" fmla="*/ 17 w 20"/>
                <a:gd name="T11" fmla="*/ 28 h 32"/>
                <a:gd name="T12" fmla="*/ 19 w 20"/>
                <a:gd name="T13" fmla="*/ 27 h 32"/>
                <a:gd name="T14" fmla="*/ 18 w 20"/>
                <a:gd name="T15" fmla="*/ 29 h 32"/>
                <a:gd name="T16" fmla="*/ 16 w 20"/>
                <a:gd name="T17" fmla="*/ 31 h 32"/>
                <a:gd name="T18" fmla="*/ 14 w 20"/>
                <a:gd name="T19" fmla="*/ 32 h 32"/>
                <a:gd name="T20" fmla="*/ 11 w 20"/>
                <a:gd name="T21" fmla="*/ 32 h 32"/>
                <a:gd name="T22" fmla="*/ 8 w 20"/>
                <a:gd name="T23" fmla="*/ 32 h 32"/>
                <a:gd name="T24" fmla="*/ 7 w 20"/>
                <a:gd name="T25" fmla="*/ 31 h 32"/>
                <a:gd name="T26" fmla="*/ 5 w 20"/>
                <a:gd name="T27" fmla="*/ 29 h 32"/>
                <a:gd name="T28" fmla="*/ 2 w 20"/>
                <a:gd name="T29" fmla="*/ 29 h 32"/>
                <a:gd name="T30" fmla="*/ 0 w 20"/>
                <a:gd name="T31" fmla="*/ 29 h 32"/>
                <a:gd name="T32" fmla="*/ 4 w 20"/>
                <a:gd name="T33" fmla="*/ 24 h 32"/>
                <a:gd name="T34" fmla="*/ 1 w 20"/>
                <a:gd name="T35" fmla="*/ 24 h 32"/>
                <a:gd name="T36" fmla="*/ 1 w 20"/>
                <a:gd name="T37" fmla="*/ 21 h 32"/>
                <a:gd name="T38" fmla="*/ 0 w 20"/>
                <a:gd name="T39" fmla="*/ 16 h 32"/>
                <a:gd name="T40" fmla="*/ 1 w 20"/>
                <a:gd name="T41" fmla="*/ 12 h 32"/>
                <a:gd name="T42" fmla="*/ 2 w 20"/>
                <a:gd name="T43" fmla="*/ 8 h 32"/>
                <a:gd name="T44" fmla="*/ 4 w 20"/>
                <a:gd name="T45" fmla="*/ 5 h 32"/>
                <a:gd name="T46" fmla="*/ 7 w 20"/>
                <a:gd name="T47" fmla="*/ 2 h 32"/>
                <a:gd name="T48" fmla="*/ 9 w 20"/>
                <a:gd name="T49" fmla="*/ 0 h 32"/>
                <a:gd name="T50" fmla="*/ 12 w 20"/>
                <a:gd name="T51" fmla="*/ 0 h 32"/>
                <a:gd name="T52" fmla="*/ 15 w 20"/>
                <a:gd name="T53" fmla="*/ 0 h 32"/>
                <a:gd name="T54" fmla="*/ 17 w 20"/>
                <a:gd name="T55" fmla="*/ 2 h 32"/>
                <a:gd name="T56" fmla="*/ 19 w 20"/>
                <a:gd name="T57" fmla="*/ 5 h 32"/>
                <a:gd name="T58" fmla="*/ 20 w 20"/>
                <a:gd name="T59" fmla="*/ 8 h 32"/>
                <a:gd name="T60" fmla="*/ 19 w 20"/>
                <a:gd name="T61" fmla="*/ 11 h 32"/>
                <a:gd name="T62" fmla="*/ 18 w 20"/>
                <a:gd name="T63" fmla="*/ 13 h 32"/>
                <a:gd name="T64" fmla="*/ 16 w 20"/>
                <a:gd name="T65" fmla="*/ 18 h 32"/>
                <a:gd name="T66" fmla="*/ 15 w 20"/>
                <a:gd name="T67" fmla="*/ 21 h 32"/>
                <a:gd name="T68" fmla="*/ 14 w 20"/>
                <a:gd name="T69" fmla="*/ 22 h 32"/>
                <a:gd name="T70" fmla="*/ 11 w 20"/>
                <a:gd name="T71" fmla="*/ 24 h 32"/>
                <a:gd name="T72" fmla="*/ 9 w 20"/>
                <a:gd name="T73" fmla="*/ 25 h 32"/>
                <a:gd name="T74" fmla="*/ 7 w 20"/>
                <a:gd name="T75" fmla="*/ 25 h 32"/>
                <a:gd name="T76" fmla="*/ 12 w 20"/>
                <a:gd name="T77" fmla="*/ 0 h 32"/>
                <a:gd name="T78" fmla="*/ 9 w 20"/>
                <a:gd name="T79" fmla="*/ 2 h 32"/>
                <a:gd name="T80" fmla="*/ 8 w 20"/>
                <a:gd name="T81" fmla="*/ 6 h 32"/>
                <a:gd name="T82" fmla="*/ 6 w 20"/>
                <a:gd name="T83" fmla="*/ 8 h 32"/>
                <a:gd name="T84" fmla="*/ 5 w 20"/>
                <a:gd name="T85" fmla="*/ 12 h 32"/>
                <a:gd name="T86" fmla="*/ 4 w 20"/>
                <a:gd name="T87" fmla="*/ 15 h 32"/>
                <a:gd name="T88" fmla="*/ 4 w 20"/>
                <a:gd name="T89" fmla="*/ 19 h 32"/>
                <a:gd name="T90" fmla="*/ 5 w 20"/>
                <a:gd name="T91" fmla="*/ 24 h 32"/>
                <a:gd name="T92" fmla="*/ 8 w 20"/>
                <a:gd name="T93" fmla="*/ 24 h 32"/>
                <a:gd name="T94" fmla="*/ 10 w 20"/>
                <a:gd name="T95" fmla="*/ 24 h 32"/>
                <a:gd name="T96" fmla="*/ 12 w 20"/>
                <a:gd name="T97" fmla="*/ 21 h 32"/>
                <a:gd name="T98" fmla="*/ 13 w 20"/>
                <a:gd name="T99" fmla="*/ 16 h 32"/>
                <a:gd name="T100" fmla="*/ 15 w 20"/>
                <a:gd name="T101" fmla="*/ 13 h 32"/>
                <a:gd name="T102" fmla="*/ 15 w 20"/>
                <a:gd name="T103" fmla="*/ 9 h 32"/>
                <a:gd name="T104" fmla="*/ 15 w 20"/>
                <a:gd name="T105" fmla="*/ 5 h 32"/>
                <a:gd name="T106" fmla="*/ 15 w 20"/>
                <a:gd name="T107" fmla="*/ 0 h 32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20"/>
                <a:gd name="T163" fmla="*/ 0 h 32"/>
                <a:gd name="T164" fmla="*/ 20 w 20"/>
                <a:gd name="T165" fmla="*/ 32 h 32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20" h="32">
                  <a:moveTo>
                    <a:pt x="6" y="25"/>
                  </a:moveTo>
                  <a:lnTo>
                    <a:pt x="4" y="27"/>
                  </a:lnTo>
                  <a:lnTo>
                    <a:pt x="5" y="27"/>
                  </a:lnTo>
                  <a:lnTo>
                    <a:pt x="6" y="27"/>
                  </a:lnTo>
                  <a:lnTo>
                    <a:pt x="7" y="27"/>
                  </a:lnTo>
                  <a:lnTo>
                    <a:pt x="8" y="27"/>
                  </a:lnTo>
                  <a:lnTo>
                    <a:pt x="9" y="27"/>
                  </a:lnTo>
                  <a:lnTo>
                    <a:pt x="10" y="27"/>
                  </a:lnTo>
                  <a:lnTo>
                    <a:pt x="10" y="28"/>
                  </a:lnTo>
                  <a:lnTo>
                    <a:pt x="11" y="28"/>
                  </a:lnTo>
                  <a:lnTo>
                    <a:pt x="12" y="29"/>
                  </a:lnTo>
                  <a:lnTo>
                    <a:pt x="13" y="29"/>
                  </a:lnTo>
                  <a:lnTo>
                    <a:pt x="14" y="29"/>
                  </a:lnTo>
                  <a:lnTo>
                    <a:pt x="15" y="29"/>
                  </a:lnTo>
                  <a:lnTo>
                    <a:pt x="16" y="29"/>
                  </a:lnTo>
                  <a:lnTo>
                    <a:pt x="17" y="28"/>
                  </a:lnTo>
                  <a:lnTo>
                    <a:pt x="18" y="28"/>
                  </a:lnTo>
                  <a:lnTo>
                    <a:pt x="18" y="27"/>
                  </a:lnTo>
                  <a:lnTo>
                    <a:pt x="19" y="27"/>
                  </a:lnTo>
                  <a:lnTo>
                    <a:pt x="19" y="28"/>
                  </a:lnTo>
                  <a:lnTo>
                    <a:pt x="18" y="28"/>
                  </a:lnTo>
                  <a:lnTo>
                    <a:pt x="18" y="29"/>
                  </a:lnTo>
                  <a:lnTo>
                    <a:pt x="17" y="29"/>
                  </a:lnTo>
                  <a:lnTo>
                    <a:pt x="16" y="29"/>
                  </a:lnTo>
                  <a:lnTo>
                    <a:pt x="16" y="31"/>
                  </a:lnTo>
                  <a:lnTo>
                    <a:pt x="15" y="31"/>
                  </a:lnTo>
                  <a:lnTo>
                    <a:pt x="15" y="32"/>
                  </a:lnTo>
                  <a:lnTo>
                    <a:pt x="14" y="32"/>
                  </a:lnTo>
                  <a:lnTo>
                    <a:pt x="13" y="32"/>
                  </a:lnTo>
                  <a:lnTo>
                    <a:pt x="12" y="32"/>
                  </a:lnTo>
                  <a:lnTo>
                    <a:pt x="11" y="32"/>
                  </a:lnTo>
                  <a:lnTo>
                    <a:pt x="10" y="32"/>
                  </a:lnTo>
                  <a:lnTo>
                    <a:pt x="9" y="32"/>
                  </a:lnTo>
                  <a:lnTo>
                    <a:pt x="8" y="32"/>
                  </a:lnTo>
                  <a:lnTo>
                    <a:pt x="7" y="32"/>
                  </a:lnTo>
                  <a:lnTo>
                    <a:pt x="7" y="31"/>
                  </a:lnTo>
                  <a:lnTo>
                    <a:pt x="6" y="31"/>
                  </a:lnTo>
                  <a:lnTo>
                    <a:pt x="5" y="31"/>
                  </a:lnTo>
                  <a:lnTo>
                    <a:pt x="5" y="29"/>
                  </a:lnTo>
                  <a:lnTo>
                    <a:pt x="4" y="29"/>
                  </a:lnTo>
                  <a:lnTo>
                    <a:pt x="3" y="29"/>
                  </a:lnTo>
                  <a:lnTo>
                    <a:pt x="2" y="29"/>
                  </a:lnTo>
                  <a:lnTo>
                    <a:pt x="1" y="29"/>
                  </a:lnTo>
                  <a:lnTo>
                    <a:pt x="1" y="31"/>
                  </a:lnTo>
                  <a:lnTo>
                    <a:pt x="0" y="29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7" y="16"/>
                  </a:lnTo>
                  <a:lnTo>
                    <a:pt x="16" y="18"/>
                  </a:lnTo>
                  <a:lnTo>
                    <a:pt x="16" y="19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2"/>
                  </a:lnTo>
                  <a:lnTo>
                    <a:pt x="12" y="22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9"/>
                  </a:lnTo>
                  <a:lnTo>
                    <a:pt x="15" y="8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1" name="Freeform 12"/>
            <xdr:cNvSpPr>
              <a:spLocks/>
            </xdr:cNvSpPr>
          </xdr:nvSpPr>
          <xdr:spPr bwMode="auto">
            <a:xfrm>
              <a:off x="196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1 w 22"/>
                <a:gd name="T3" fmla="*/ 2 h 25"/>
                <a:gd name="T4" fmla="*/ 20 w 22"/>
                <a:gd name="T5" fmla="*/ 5 h 25"/>
                <a:gd name="T6" fmla="*/ 19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3 w 22"/>
                <a:gd name="T13" fmla="*/ 24 h 25"/>
                <a:gd name="T14" fmla="*/ 11 w 22"/>
                <a:gd name="T15" fmla="*/ 24 h 25"/>
                <a:gd name="T16" fmla="*/ 9 w 22"/>
                <a:gd name="T17" fmla="*/ 25 h 25"/>
                <a:gd name="T18" fmla="*/ 7 w 22"/>
                <a:gd name="T19" fmla="*/ 25 h 25"/>
                <a:gd name="T20" fmla="*/ 6 w 22"/>
                <a:gd name="T21" fmla="*/ 25 h 25"/>
                <a:gd name="T22" fmla="*/ 4 w 22"/>
                <a:gd name="T23" fmla="*/ 24 h 25"/>
                <a:gd name="T24" fmla="*/ 2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4 w 22"/>
                <a:gd name="T33" fmla="*/ 5 h 25"/>
                <a:gd name="T34" fmla="*/ 3 w 22"/>
                <a:gd name="T35" fmla="*/ 2 h 25"/>
                <a:gd name="T36" fmla="*/ 1 w 22"/>
                <a:gd name="T37" fmla="*/ 2 h 25"/>
                <a:gd name="T38" fmla="*/ 12 w 22"/>
                <a:gd name="T39" fmla="*/ 0 h 25"/>
                <a:gd name="T40" fmla="*/ 11 w 22"/>
                <a:gd name="T41" fmla="*/ 2 h 25"/>
                <a:gd name="T42" fmla="*/ 9 w 22"/>
                <a:gd name="T43" fmla="*/ 3 h 25"/>
                <a:gd name="T44" fmla="*/ 8 w 22"/>
                <a:gd name="T45" fmla="*/ 5 h 25"/>
                <a:gd name="T46" fmla="*/ 6 w 22"/>
                <a:gd name="T47" fmla="*/ 16 h 25"/>
                <a:gd name="T48" fmla="*/ 5 w 22"/>
                <a:gd name="T49" fmla="*/ 18 h 25"/>
                <a:gd name="T50" fmla="*/ 5 w 22"/>
                <a:gd name="T51" fmla="*/ 21 h 25"/>
                <a:gd name="T52" fmla="*/ 7 w 22"/>
                <a:gd name="T53" fmla="*/ 24 h 25"/>
                <a:gd name="T54" fmla="*/ 8 w 22"/>
                <a:gd name="T55" fmla="*/ 24 h 25"/>
                <a:gd name="T56" fmla="*/ 10 w 22"/>
                <a:gd name="T57" fmla="*/ 24 h 25"/>
                <a:gd name="T58" fmla="*/ 11 w 22"/>
                <a:gd name="T59" fmla="*/ 22 h 25"/>
                <a:gd name="T60" fmla="*/ 13 w 22"/>
                <a:gd name="T61" fmla="*/ 21 h 25"/>
                <a:gd name="T62" fmla="*/ 14 w 22"/>
                <a:gd name="T63" fmla="*/ 19 h 25"/>
                <a:gd name="T64" fmla="*/ 14 w 22"/>
                <a:gd name="T65" fmla="*/ 18 h 25"/>
                <a:gd name="T66" fmla="*/ 18 w 22"/>
                <a:gd name="T67" fmla="*/ 6 h 25"/>
                <a:gd name="T68" fmla="*/ 18 w 22"/>
                <a:gd name="T69" fmla="*/ 3 h 25"/>
                <a:gd name="T70" fmla="*/ 16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19" y="5"/>
                  </a:lnTo>
                  <a:lnTo>
                    <a:pt x="19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2" y="0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6" y="16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2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8" y="6"/>
                  </a:lnTo>
                  <a:lnTo>
                    <a:pt x="18" y="5"/>
                  </a:lnTo>
                  <a:lnTo>
                    <a:pt x="18" y="3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2" name="Freeform 13"/>
            <xdr:cNvSpPr>
              <a:spLocks/>
            </xdr:cNvSpPr>
          </xdr:nvSpPr>
          <xdr:spPr bwMode="auto">
            <a:xfrm>
              <a:off x="215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9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2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3" name="Freeform 14"/>
            <xdr:cNvSpPr>
              <a:spLocks/>
            </xdr:cNvSpPr>
          </xdr:nvSpPr>
          <xdr:spPr bwMode="auto">
            <a:xfrm>
              <a:off x="227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2 w 26"/>
                <a:gd name="T7" fmla="*/ 5 h 25"/>
                <a:gd name="T8" fmla="*/ 22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5 w 26"/>
                <a:gd name="T25" fmla="*/ 2 h 25"/>
                <a:gd name="T26" fmla="*/ 24 w 26"/>
                <a:gd name="T27" fmla="*/ 3 h 25"/>
                <a:gd name="T28" fmla="*/ 23 w 26"/>
                <a:gd name="T29" fmla="*/ 3 h 25"/>
                <a:gd name="T30" fmla="*/ 23 w 26"/>
                <a:gd name="T31" fmla="*/ 5 h 25"/>
                <a:gd name="T32" fmla="*/ 23 w 26"/>
                <a:gd name="T33" fmla="*/ 6 h 25"/>
                <a:gd name="T34" fmla="*/ 18 w 26"/>
                <a:gd name="T35" fmla="*/ 25 h 25"/>
                <a:gd name="T36" fmla="*/ 17 w 26"/>
                <a:gd name="T37" fmla="*/ 25 h 25"/>
                <a:gd name="T38" fmla="*/ 9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1 w 26"/>
                <a:gd name="T59" fmla="*/ 24 h 25"/>
                <a:gd name="T60" fmla="*/ 2 w 26"/>
                <a:gd name="T61" fmla="*/ 24 h 25"/>
                <a:gd name="T62" fmla="*/ 3 w 26"/>
                <a:gd name="T63" fmla="*/ 24 h 25"/>
                <a:gd name="T64" fmla="*/ 4 w 26"/>
                <a:gd name="T65" fmla="*/ 22 h 25"/>
                <a:gd name="T66" fmla="*/ 4 w 26"/>
                <a:gd name="T67" fmla="*/ 21 h 25"/>
                <a:gd name="T68" fmla="*/ 8 w 26"/>
                <a:gd name="T69" fmla="*/ 3 h 25"/>
                <a:gd name="T70" fmla="*/ 8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4" name="Freeform 15"/>
            <xdr:cNvSpPr>
              <a:spLocks/>
            </xdr:cNvSpPr>
          </xdr:nvSpPr>
          <xdr:spPr bwMode="auto">
            <a:xfrm>
              <a:off x="249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5" name="Freeform 16"/>
            <xdr:cNvSpPr>
              <a:spLocks/>
            </xdr:cNvSpPr>
          </xdr:nvSpPr>
          <xdr:spPr bwMode="auto">
            <a:xfrm>
              <a:off x="271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6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9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6 w 20"/>
                <a:gd name="T45" fmla="*/ 19 h 25"/>
                <a:gd name="T46" fmla="*/ 16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9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2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2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6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6" y="19"/>
                  </a:lnTo>
                  <a:lnTo>
                    <a:pt x="16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2" y="21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6" name="Freeform 17"/>
            <xdr:cNvSpPr>
              <a:spLocks noEditPoints="1"/>
            </xdr:cNvSpPr>
          </xdr:nvSpPr>
          <xdr:spPr bwMode="auto">
            <a:xfrm>
              <a:off x="291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4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2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8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19 w 20"/>
                <a:gd name="T47" fmla="*/ 13 h 25"/>
                <a:gd name="T48" fmla="*/ 18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2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2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4 w 20"/>
                <a:gd name="T81" fmla="*/ 16 h 25"/>
                <a:gd name="T82" fmla="*/ 4 w 20"/>
                <a:gd name="T83" fmla="*/ 19 h 25"/>
                <a:gd name="T84" fmla="*/ 4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1 w 20"/>
                <a:gd name="T93" fmla="*/ 22 h 25"/>
                <a:gd name="T94" fmla="*/ 12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7" name="Freeform 18"/>
            <xdr:cNvSpPr>
              <a:spLocks/>
            </xdr:cNvSpPr>
          </xdr:nvSpPr>
          <xdr:spPr bwMode="auto">
            <a:xfrm>
              <a:off x="310" y="156"/>
              <a:ext cx="27" cy="25"/>
            </a:xfrm>
            <a:custGeom>
              <a:avLst/>
              <a:gdLst>
                <a:gd name="T0" fmla="*/ 12 w 27"/>
                <a:gd name="T1" fmla="*/ 0 h 25"/>
                <a:gd name="T2" fmla="*/ 19 w 27"/>
                <a:gd name="T3" fmla="*/ 16 h 25"/>
                <a:gd name="T4" fmla="*/ 21 w 27"/>
                <a:gd name="T5" fmla="*/ 6 h 25"/>
                <a:gd name="T6" fmla="*/ 22 w 27"/>
                <a:gd name="T7" fmla="*/ 5 h 25"/>
                <a:gd name="T8" fmla="*/ 22 w 27"/>
                <a:gd name="T9" fmla="*/ 3 h 25"/>
                <a:gd name="T10" fmla="*/ 21 w 27"/>
                <a:gd name="T11" fmla="*/ 3 h 25"/>
                <a:gd name="T12" fmla="*/ 21 w 27"/>
                <a:gd name="T13" fmla="*/ 2 h 25"/>
                <a:gd name="T14" fmla="*/ 20 w 27"/>
                <a:gd name="T15" fmla="*/ 2 h 25"/>
                <a:gd name="T16" fmla="*/ 20 w 27"/>
                <a:gd name="T17" fmla="*/ 2 h 25"/>
                <a:gd name="T18" fmla="*/ 20 w 27"/>
                <a:gd name="T19" fmla="*/ 0 h 25"/>
                <a:gd name="T20" fmla="*/ 27 w 27"/>
                <a:gd name="T21" fmla="*/ 0 h 25"/>
                <a:gd name="T22" fmla="*/ 26 w 27"/>
                <a:gd name="T23" fmla="*/ 2 h 25"/>
                <a:gd name="T24" fmla="*/ 25 w 27"/>
                <a:gd name="T25" fmla="*/ 2 h 25"/>
                <a:gd name="T26" fmla="*/ 24 w 27"/>
                <a:gd name="T27" fmla="*/ 3 h 25"/>
                <a:gd name="T28" fmla="*/ 23 w 27"/>
                <a:gd name="T29" fmla="*/ 3 h 25"/>
                <a:gd name="T30" fmla="*/ 23 w 27"/>
                <a:gd name="T31" fmla="*/ 5 h 25"/>
                <a:gd name="T32" fmla="*/ 23 w 27"/>
                <a:gd name="T33" fmla="*/ 6 h 25"/>
                <a:gd name="T34" fmla="*/ 18 w 27"/>
                <a:gd name="T35" fmla="*/ 25 h 25"/>
                <a:gd name="T36" fmla="*/ 17 w 27"/>
                <a:gd name="T37" fmla="*/ 25 h 25"/>
                <a:gd name="T38" fmla="*/ 9 w 27"/>
                <a:gd name="T39" fmla="*/ 5 h 25"/>
                <a:gd name="T40" fmla="*/ 5 w 27"/>
                <a:gd name="T41" fmla="*/ 21 h 25"/>
                <a:gd name="T42" fmla="*/ 5 w 27"/>
                <a:gd name="T43" fmla="*/ 22 h 25"/>
                <a:gd name="T44" fmla="*/ 5 w 27"/>
                <a:gd name="T45" fmla="*/ 24 h 25"/>
                <a:gd name="T46" fmla="*/ 6 w 27"/>
                <a:gd name="T47" fmla="*/ 24 h 25"/>
                <a:gd name="T48" fmla="*/ 6 w 27"/>
                <a:gd name="T49" fmla="*/ 24 h 25"/>
                <a:gd name="T50" fmla="*/ 7 w 27"/>
                <a:gd name="T51" fmla="*/ 24 h 25"/>
                <a:gd name="T52" fmla="*/ 6 w 27"/>
                <a:gd name="T53" fmla="*/ 25 h 25"/>
                <a:gd name="T54" fmla="*/ 0 w 27"/>
                <a:gd name="T55" fmla="*/ 25 h 25"/>
                <a:gd name="T56" fmla="*/ 0 w 27"/>
                <a:gd name="T57" fmla="*/ 24 h 25"/>
                <a:gd name="T58" fmla="*/ 1 w 27"/>
                <a:gd name="T59" fmla="*/ 24 h 25"/>
                <a:gd name="T60" fmla="*/ 2 w 27"/>
                <a:gd name="T61" fmla="*/ 24 h 25"/>
                <a:gd name="T62" fmla="*/ 3 w 27"/>
                <a:gd name="T63" fmla="*/ 24 h 25"/>
                <a:gd name="T64" fmla="*/ 4 w 27"/>
                <a:gd name="T65" fmla="*/ 22 h 25"/>
                <a:gd name="T66" fmla="*/ 4 w 27"/>
                <a:gd name="T67" fmla="*/ 21 h 25"/>
                <a:gd name="T68" fmla="*/ 8 w 27"/>
                <a:gd name="T69" fmla="*/ 3 h 25"/>
                <a:gd name="T70" fmla="*/ 8 w 27"/>
                <a:gd name="T71" fmla="*/ 2 h 25"/>
                <a:gd name="T72" fmla="*/ 7 w 27"/>
                <a:gd name="T73" fmla="*/ 2 h 25"/>
                <a:gd name="T74" fmla="*/ 6 w 27"/>
                <a:gd name="T75" fmla="*/ 2 h 25"/>
                <a:gd name="T76" fmla="*/ 6 w 27"/>
                <a:gd name="T77" fmla="*/ 2 h 25"/>
                <a:gd name="T78" fmla="*/ 6 w 27"/>
                <a:gd name="T79" fmla="*/ 0 h 25"/>
                <a:gd name="T80" fmla="*/ 12 w 27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7"/>
                <a:gd name="T124" fmla="*/ 0 h 25"/>
                <a:gd name="T125" fmla="*/ 27 w 27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7" h="25">
                  <a:moveTo>
                    <a:pt x="12" y="0"/>
                  </a:moveTo>
                  <a:lnTo>
                    <a:pt x="19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20" y="0"/>
                  </a:lnTo>
                  <a:lnTo>
                    <a:pt x="27" y="0"/>
                  </a:lnTo>
                  <a:lnTo>
                    <a:pt x="26" y="2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8" name="Freeform 19"/>
            <xdr:cNvSpPr>
              <a:spLocks/>
            </xdr:cNvSpPr>
          </xdr:nvSpPr>
          <xdr:spPr bwMode="auto">
            <a:xfrm>
              <a:off x="332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3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3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3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6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5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5 w 19"/>
                <a:gd name="T77" fmla="*/ 9 h 25"/>
                <a:gd name="T78" fmla="*/ 5 w 19"/>
                <a:gd name="T79" fmla="*/ 6 h 25"/>
                <a:gd name="T80" fmla="*/ 6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2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9" name="Freeform 20"/>
            <xdr:cNvSpPr>
              <a:spLocks/>
            </xdr:cNvSpPr>
          </xdr:nvSpPr>
          <xdr:spPr bwMode="auto">
            <a:xfrm>
              <a:off x="352" y="156"/>
              <a:ext cx="20" cy="25"/>
            </a:xfrm>
            <a:custGeom>
              <a:avLst/>
              <a:gdLst>
                <a:gd name="T0" fmla="*/ 4 w 20"/>
                <a:gd name="T1" fmla="*/ 0 h 25"/>
                <a:gd name="T2" fmla="*/ 20 w 20"/>
                <a:gd name="T3" fmla="*/ 0 h 25"/>
                <a:gd name="T4" fmla="*/ 18 w 20"/>
                <a:gd name="T5" fmla="*/ 8 h 25"/>
                <a:gd name="T6" fmla="*/ 17 w 20"/>
                <a:gd name="T7" fmla="*/ 8 h 25"/>
                <a:gd name="T8" fmla="*/ 17 w 20"/>
                <a:gd name="T9" fmla="*/ 6 h 25"/>
                <a:gd name="T10" fmla="*/ 17 w 20"/>
                <a:gd name="T11" fmla="*/ 5 h 25"/>
                <a:gd name="T12" fmla="*/ 16 w 20"/>
                <a:gd name="T13" fmla="*/ 3 h 25"/>
                <a:gd name="T14" fmla="*/ 15 w 20"/>
                <a:gd name="T15" fmla="*/ 2 h 25"/>
                <a:gd name="T16" fmla="*/ 14 w 20"/>
                <a:gd name="T17" fmla="*/ 2 h 25"/>
                <a:gd name="T18" fmla="*/ 13 w 20"/>
                <a:gd name="T19" fmla="*/ 2 h 25"/>
                <a:gd name="T20" fmla="*/ 9 w 20"/>
                <a:gd name="T21" fmla="*/ 21 h 25"/>
                <a:gd name="T22" fmla="*/ 8 w 20"/>
                <a:gd name="T23" fmla="*/ 21 h 25"/>
                <a:gd name="T24" fmla="*/ 8 w 20"/>
                <a:gd name="T25" fmla="*/ 22 h 25"/>
                <a:gd name="T26" fmla="*/ 8 w 20"/>
                <a:gd name="T27" fmla="*/ 24 h 25"/>
                <a:gd name="T28" fmla="*/ 9 w 20"/>
                <a:gd name="T29" fmla="*/ 24 h 25"/>
                <a:gd name="T30" fmla="*/ 10 w 20"/>
                <a:gd name="T31" fmla="*/ 24 h 25"/>
                <a:gd name="T32" fmla="*/ 11 w 20"/>
                <a:gd name="T33" fmla="*/ 24 h 25"/>
                <a:gd name="T34" fmla="*/ 11 w 20"/>
                <a:gd name="T35" fmla="*/ 25 h 25"/>
                <a:gd name="T36" fmla="*/ 0 w 20"/>
                <a:gd name="T37" fmla="*/ 25 h 25"/>
                <a:gd name="T38" fmla="*/ 0 w 20"/>
                <a:gd name="T39" fmla="*/ 24 h 25"/>
                <a:gd name="T40" fmla="*/ 1 w 20"/>
                <a:gd name="T41" fmla="*/ 24 h 25"/>
                <a:gd name="T42" fmla="*/ 2 w 20"/>
                <a:gd name="T43" fmla="*/ 24 h 25"/>
                <a:gd name="T44" fmla="*/ 3 w 20"/>
                <a:gd name="T45" fmla="*/ 24 h 25"/>
                <a:gd name="T46" fmla="*/ 4 w 20"/>
                <a:gd name="T47" fmla="*/ 24 h 25"/>
                <a:gd name="T48" fmla="*/ 4 w 20"/>
                <a:gd name="T49" fmla="*/ 22 h 25"/>
                <a:gd name="T50" fmla="*/ 4 w 20"/>
                <a:gd name="T51" fmla="*/ 21 h 25"/>
                <a:gd name="T52" fmla="*/ 9 w 20"/>
                <a:gd name="T53" fmla="*/ 2 h 25"/>
                <a:gd name="T54" fmla="*/ 8 w 20"/>
                <a:gd name="T55" fmla="*/ 2 h 25"/>
                <a:gd name="T56" fmla="*/ 7 w 20"/>
                <a:gd name="T57" fmla="*/ 2 h 25"/>
                <a:gd name="T58" fmla="*/ 6 w 20"/>
                <a:gd name="T59" fmla="*/ 2 h 25"/>
                <a:gd name="T60" fmla="*/ 6 w 20"/>
                <a:gd name="T61" fmla="*/ 3 h 25"/>
                <a:gd name="T62" fmla="*/ 5 w 20"/>
                <a:gd name="T63" fmla="*/ 5 h 25"/>
                <a:gd name="T64" fmla="*/ 4 w 20"/>
                <a:gd name="T65" fmla="*/ 5 h 25"/>
                <a:gd name="T66" fmla="*/ 4 w 20"/>
                <a:gd name="T67" fmla="*/ 6 h 25"/>
                <a:gd name="T68" fmla="*/ 3 w 20"/>
                <a:gd name="T69" fmla="*/ 6 h 25"/>
                <a:gd name="T70" fmla="*/ 3 w 20"/>
                <a:gd name="T71" fmla="*/ 8 h 25"/>
                <a:gd name="T72" fmla="*/ 2 w 20"/>
                <a:gd name="T73" fmla="*/ 8 h 25"/>
                <a:gd name="T74" fmla="*/ 4 w 20"/>
                <a:gd name="T75" fmla="*/ 0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"/>
                <a:gd name="T115" fmla="*/ 0 h 25"/>
                <a:gd name="T116" fmla="*/ 20 w 20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" h="25">
                  <a:moveTo>
                    <a:pt x="4" y="0"/>
                  </a:moveTo>
                  <a:lnTo>
                    <a:pt x="20" y="0"/>
                  </a:lnTo>
                  <a:lnTo>
                    <a:pt x="18" y="8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9" y="21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9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3"/>
                  </a:lnTo>
                  <a:lnTo>
                    <a:pt x="5" y="5"/>
                  </a:lnTo>
                  <a:lnTo>
                    <a:pt x="4" y="5"/>
                  </a:lnTo>
                  <a:lnTo>
                    <a:pt x="4" y="6"/>
                  </a:lnTo>
                  <a:lnTo>
                    <a:pt x="3" y="6"/>
                  </a:lnTo>
                  <a:lnTo>
                    <a:pt x="3" y="8"/>
                  </a:lnTo>
                  <a:lnTo>
                    <a:pt x="2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0" name="Freeform 21"/>
            <xdr:cNvSpPr>
              <a:spLocks noEditPoints="1"/>
            </xdr:cNvSpPr>
          </xdr:nvSpPr>
          <xdr:spPr bwMode="auto">
            <a:xfrm>
              <a:off x="36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6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19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0 w 21"/>
                <a:gd name="T31" fmla="*/ 9 h 25"/>
                <a:gd name="T32" fmla="*/ 18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8 w 21"/>
                <a:gd name="T39" fmla="*/ 22 h 25"/>
                <a:gd name="T40" fmla="*/ 19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1 w 21"/>
                <a:gd name="T51" fmla="*/ 12 h 25"/>
                <a:gd name="T52" fmla="*/ 13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3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2"/>
                  </a:lnTo>
                  <a:lnTo>
                    <a:pt x="20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19" y="11"/>
                  </a:lnTo>
                  <a:lnTo>
                    <a:pt x="18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3" y="11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1" name="Freeform 22"/>
            <xdr:cNvSpPr>
              <a:spLocks/>
            </xdr:cNvSpPr>
          </xdr:nvSpPr>
          <xdr:spPr bwMode="auto">
            <a:xfrm>
              <a:off x="392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0 w 22"/>
                <a:gd name="T3" fmla="*/ 2 h 25"/>
                <a:gd name="T4" fmla="*/ 19 w 22"/>
                <a:gd name="T5" fmla="*/ 5 h 25"/>
                <a:gd name="T6" fmla="*/ 18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2 w 22"/>
                <a:gd name="T13" fmla="*/ 24 h 25"/>
                <a:gd name="T14" fmla="*/ 10 w 22"/>
                <a:gd name="T15" fmla="*/ 24 h 25"/>
                <a:gd name="T16" fmla="*/ 8 w 22"/>
                <a:gd name="T17" fmla="*/ 25 h 25"/>
                <a:gd name="T18" fmla="*/ 7 w 22"/>
                <a:gd name="T19" fmla="*/ 25 h 25"/>
                <a:gd name="T20" fmla="*/ 5 w 22"/>
                <a:gd name="T21" fmla="*/ 25 h 25"/>
                <a:gd name="T22" fmla="*/ 3 w 22"/>
                <a:gd name="T23" fmla="*/ 24 h 25"/>
                <a:gd name="T24" fmla="*/ 1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3 w 22"/>
                <a:gd name="T33" fmla="*/ 5 h 25"/>
                <a:gd name="T34" fmla="*/ 2 w 22"/>
                <a:gd name="T35" fmla="*/ 2 h 25"/>
                <a:gd name="T36" fmla="*/ 1 w 22"/>
                <a:gd name="T37" fmla="*/ 2 h 25"/>
                <a:gd name="T38" fmla="*/ 11 w 22"/>
                <a:gd name="T39" fmla="*/ 0 h 25"/>
                <a:gd name="T40" fmla="*/ 10 w 22"/>
                <a:gd name="T41" fmla="*/ 2 h 25"/>
                <a:gd name="T42" fmla="*/ 8 w 22"/>
                <a:gd name="T43" fmla="*/ 3 h 25"/>
                <a:gd name="T44" fmla="*/ 8 w 22"/>
                <a:gd name="T45" fmla="*/ 5 h 25"/>
                <a:gd name="T46" fmla="*/ 5 w 22"/>
                <a:gd name="T47" fmla="*/ 16 h 25"/>
                <a:gd name="T48" fmla="*/ 4 w 22"/>
                <a:gd name="T49" fmla="*/ 18 h 25"/>
                <a:gd name="T50" fmla="*/ 4 w 22"/>
                <a:gd name="T51" fmla="*/ 21 h 25"/>
                <a:gd name="T52" fmla="*/ 6 w 22"/>
                <a:gd name="T53" fmla="*/ 24 h 25"/>
                <a:gd name="T54" fmla="*/ 8 w 22"/>
                <a:gd name="T55" fmla="*/ 24 h 25"/>
                <a:gd name="T56" fmla="*/ 9 w 22"/>
                <a:gd name="T57" fmla="*/ 24 h 25"/>
                <a:gd name="T58" fmla="*/ 10 w 22"/>
                <a:gd name="T59" fmla="*/ 22 h 25"/>
                <a:gd name="T60" fmla="*/ 12 w 22"/>
                <a:gd name="T61" fmla="*/ 21 h 25"/>
                <a:gd name="T62" fmla="*/ 13 w 22"/>
                <a:gd name="T63" fmla="*/ 19 h 25"/>
                <a:gd name="T64" fmla="*/ 14 w 22"/>
                <a:gd name="T65" fmla="*/ 18 h 25"/>
                <a:gd name="T66" fmla="*/ 17 w 22"/>
                <a:gd name="T67" fmla="*/ 6 h 25"/>
                <a:gd name="T68" fmla="*/ 17 w 22"/>
                <a:gd name="T69" fmla="*/ 3 h 25"/>
                <a:gd name="T70" fmla="*/ 15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3"/>
                  </a:lnTo>
                  <a:lnTo>
                    <a:pt x="19" y="5"/>
                  </a:lnTo>
                  <a:lnTo>
                    <a:pt x="18" y="5"/>
                  </a:lnTo>
                  <a:lnTo>
                    <a:pt x="18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3" y="22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3" y="6"/>
                  </a:lnTo>
                  <a:lnTo>
                    <a:pt x="3" y="5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5" y="16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2"/>
                  </a:lnTo>
                  <a:lnTo>
                    <a:pt x="11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2" name="Freeform 23"/>
            <xdr:cNvSpPr>
              <a:spLocks/>
            </xdr:cNvSpPr>
          </xdr:nvSpPr>
          <xdr:spPr bwMode="auto">
            <a:xfrm>
              <a:off x="413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3" name="Freeform 24"/>
            <xdr:cNvSpPr>
              <a:spLocks/>
            </xdr:cNvSpPr>
          </xdr:nvSpPr>
          <xdr:spPr bwMode="auto">
            <a:xfrm>
              <a:off x="434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4" name="Freeform 25"/>
            <xdr:cNvSpPr>
              <a:spLocks/>
            </xdr:cNvSpPr>
          </xdr:nvSpPr>
          <xdr:spPr bwMode="auto">
            <a:xfrm>
              <a:off x="451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1 w 16"/>
                <a:gd name="T27" fmla="*/ 24 h 25"/>
                <a:gd name="T28" fmla="*/ 11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4 w 16"/>
                <a:gd name="T41" fmla="*/ 22 h 25"/>
                <a:gd name="T42" fmla="*/ 4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5" name="Freeform 26"/>
            <xdr:cNvSpPr>
              <a:spLocks noEditPoints="1"/>
            </xdr:cNvSpPr>
          </xdr:nvSpPr>
          <xdr:spPr bwMode="auto">
            <a:xfrm>
              <a:off x="465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5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3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9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20 w 20"/>
                <a:gd name="T47" fmla="*/ 13 h 25"/>
                <a:gd name="T48" fmla="*/ 19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3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3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5 w 20"/>
                <a:gd name="T81" fmla="*/ 16 h 25"/>
                <a:gd name="T82" fmla="*/ 5 w 20"/>
                <a:gd name="T83" fmla="*/ 19 h 25"/>
                <a:gd name="T84" fmla="*/ 5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2 w 20"/>
                <a:gd name="T93" fmla="*/ 22 h 25"/>
                <a:gd name="T94" fmla="*/ 13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20" y="12"/>
                  </a:lnTo>
                  <a:lnTo>
                    <a:pt x="20" y="13"/>
                  </a:lnTo>
                  <a:lnTo>
                    <a:pt x="19" y="13"/>
                  </a:lnTo>
                  <a:lnTo>
                    <a:pt x="19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3" y="0"/>
                  </a:lnTo>
                  <a:lnTo>
                    <a:pt x="12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6" name="Freeform 27"/>
            <xdr:cNvSpPr>
              <a:spLocks/>
            </xdr:cNvSpPr>
          </xdr:nvSpPr>
          <xdr:spPr bwMode="auto">
            <a:xfrm>
              <a:off x="485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1 w 26"/>
                <a:gd name="T7" fmla="*/ 5 h 25"/>
                <a:gd name="T8" fmla="*/ 21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4 w 26"/>
                <a:gd name="T25" fmla="*/ 2 h 25"/>
                <a:gd name="T26" fmla="*/ 23 w 26"/>
                <a:gd name="T27" fmla="*/ 3 h 25"/>
                <a:gd name="T28" fmla="*/ 22 w 26"/>
                <a:gd name="T29" fmla="*/ 3 h 25"/>
                <a:gd name="T30" fmla="*/ 22 w 26"/>
                <a:gd name="T31" fmla="*/ 5 h 25"/>
                <a:gd name="T32" fmla="*/ 22 w 26"/>
                <a:gd name="T33" fmla="*/ 6 h 25"/>
                <a:gd name="T34" fmla="*/ 17 w 26"/>
                <a:gd name="T35" fmla="*/ 25 h 25"/>
                <a:gd name="T36" fmla="*/ 16 w 26"/>
                <a:gd name="T37" fmla="*/ 25 h 25"/>
                <a:gd name="T38" fmla="*/ 8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0 w 26"/>
                <a:gd name="T59" fmla="*/ 24 h 25"/>
                <a:gd name="T60" fmla="*/ 1 w 26"/>
                <a:gd name="T61" fmla="*/ 24 h 25"/>
                <a:gd name="T62" fmla="*/ 2 w 26"/>
                <a:gd name="T63" fmla="*/ 24 h 25"/>
                <a:gd name="T64" fmla="*/ 3 w 26"/>
                <a:gd name="T65" fmla="*/ 22 h 25"/>
                <a:gd name="T66" fmla="*/ 3 w 26"/>
                <a:gd name="T67" fmla="*/ 21 h 25"/>
                <a:gd name="T68" fmla="*/ 7 w 26"/>
                <a:gd name="T69" fmla="*/ 3 h 25"/>
                <a:gd name="T70" fmla="*/ 7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2"/>
                  </a:lnTo>
                  <a:lnTo>
                    <a:pt x="23" y="3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8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7" name="Freeform 28"/>
            <xdr:cNvSpPr>
              <a:spLocks/>
            </xdr:cNvSpPr>
          </xdr:nvSpPr>
          <xdr:spPr bwMode="auto">
            <a:xfrm>
              <a:off x="507" y="156"/>
              <a:ext cx="23" cy="25"/>
            </a:xfrm>
            <a:custGeom>
              <a:avLst/>
              <a:gdLst>
                <a:gd name="T0" fmla="*/ 11 w 23"/>
                <a:gd name="T1" fmla="*/ 12 h 25"/>
                <a:gd name="T2" fmla="*/ 13 w 23"/>
                <a:gd name="T3" fmla="*/ 12 h 25"/>
                <a:gd name="T4" fmla="*/ 14 w 23"/>
                <a:gd name="T5" fmla="*/ 12 h 25"/>
                <a:gd name="T6" fmla="*/ 16 w 23"/>
                <a:gd name="T7" fmla="*/ 11 h 25"/>
                <a:gd name="T8" fmla="*/ 17 w 23"/>
                <a:gd name="T9" fmla="*/ 9 h 25"/>
                <a:gd name="T10" fmla="*/ 18 w 23"/>
                <a:gd name="T11" fmla="*/ 8 h 25"/>
                <a:gd name="T12" fmla="*/ 15 w 23"/>
                <a:gd name="T13" fmla="*/ 16 h 25"/>
                <a:gd name="T14" fmla="*/ 15 w 23"/>
                <a:gd name="T15" fmla="*/ 13 h 25"/>
                <a:gd name="T16" fmla="*/ 13 w 23"/>
                <a:gd name="T17" fmla="*/ 13 h 25"/>
                <a:gd name="T18" fmla="*/ 12 w 23"/>
                <a:gd name="T19" fmla="*/ 13 h 25"/>
                <a:gd name="T20" fmla="*/ 8 w 23"/>
                <a:gd name="T21" fmla="*/ 21 h 25"/>
                <a:gd name="T22" fmla="*/ 8 w 23"/>
                <a:gd name="T23" fmla="*/ 24 h 25"/>
                <a:gd name="T24" fmla="*/ 10 w 23"/>
                <a:gd name="T25" fmla="*/ 24 h 25"/>
                <a:gd name="T26" fmla="*/ 12 w 23"/>
                <a:gd name="T27" fmla="*/ 24 h 25"/>
                <a:gd name="T28" fmla="*/ 13 w 23"/>
                <a:gd name="T29" fmla="*/ 24 h 25"/>
                <a:gd name="T30" fmla="*/ 15 w 23"/>
                <a:gd name="T31" fmla="*/ 24 h 25"/>
                <a:gd name="T32" fmla="*/ 17 w 23"/>
                <a:gd name="T33" fmla="*/ 21 h 25"/>
                <a:gd name="T34" fmla="*/ 19 w 23"/>
                <a:gd name="T35" fmla="*/ 19 h 25"/>
                <a:gd name="T36" fmla="*/ 18 w 23"/>
                <a:gd name="T37" fmla="*/ 25 h 25"/>
                <a:gd name="T38" fmla="*/ 0 w 23"/>
                <a:gd name="T39" fmla="*/ 24 h 25"/>
                <a:gd name="T40" fmla="*/ 2 w 23"/>
                <a:gd name="T41" fmla="*/ 24 h 25"/>
                <a:gd name="T42" fmla="*/ 4 w 23"/>
                <a:gd name="T43" fmla="*/ 22 h 25"/>
                <a:gd name="T44" fmla="*/ 8 w 23"/>
                <a:gd name="T45" fmla="*/ 6 h 25"/>
                <a:gd name="T46" fmla="*/ 8 w 23"/>
                <a:gd name="T47" fmla="*/ 3 h 25"/>
                <a:gd name="T48" fmla="*/ 6 w 23"/>
                <a:gd name="T49" fmla="*/ 2 h 25"/>
                <a:gd name="T50" fmla="*/ 6 w 23"/>
                <a:gd name="T51" fmla="*/ 0 h 25"/>
                <a:gd name="T52" fmla="*/ 21 w 23"/>
                <a:gd name="T53" fmla="*/ 8 h 25"/>
                <a:gd name="T54" fmla="*/ 20 w 23"/>
                <a:gd name="T55" fmla="*/ 6 h 25"/>
                <a:gd name="T56" fmla="*/ 20 w 23"/>
                <a:gd name="T57" fmla="*/ 5 h 25"/>
                <a:gd name="T58" fmla="*/ 19 w 23"/>
                <a:gd name="T59" fmla="*/ 3 h 25"/>
                <a:gd name="T60" fmla="*/ 17 w 23"/>
                <a:gd name="T61" fmla="*/ 2 h 25"/>
                <a:gd name="T62" fmla="*/ 15 w 23"/>
                <a:gd name="T63" fmla="*/ 2 h 2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3"/>
                <a:gd name="T97" fmla="*/ 0 h 25"/>
                <a:gd name="T98" fmla="*/ 23 w 23"/>
                <a:gd name="T99" fmla="*/ 25 h 2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3" h="25">
                  <a:moveTo>
                    <a:pt x="13" y="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8" y="8"/>
                  </a:lnTo>
                  <a:lnTo>
                    <a:pt x="16" y="16"/>
                  </a:lnTo>
                  <a:lnTo>
                    <a:pt x="15" y="16"/>
                  </a:lnTo>
                  <a:lnTo>
                    <a:pt x="15" y="15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4"/>
                  </a:lnTo>
                  <a:lnTo>
                    <a:pt x="16" y="22"/>
                  </a:lnTo>
                  <a:lnTo>
                    <a:pt x="17" y="21"/>
                  </a:lnTo>
                  <a:lnTo>
                    <a:pt x="18" y="21"/>
                  </a:lnTo>
                  <a:lnTo>
                    <a:pt x="19" y="19"/>
                  </a:lnTo>
                  <a:lnTo>
                    <a:pt x="20" y="19"/>
                  </a:lnTo>
                  <a:lnTo>
                    <a:pt x="18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23" y="0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6"/>
                  </a:lnTo>
                  <a:lnTo>
                    <a:pt x="20" y="5"/>
                  </a:lnTo>
                  <a:lnTo>
                    <a:pt x="20" y="3"/>
                  </a:lnTo>
                  <a:lnTo>
                    <a:pt x="19" y="3"/>
                  </a:lnTo>
                  <a:lnTo>
                    <a:pt x="18" y="2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3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8" name="Freeform 29"/>
            <xdr:cNvSpPr>
              <a:spLocks/>
            </xdr:cNvSpPr>
          </xdr:nvSpPr>
          <xdr:spPr bwMode="auto">
            <a:xfrm>
              <a:off x="527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9" name="Freeform 30"/>
            <xdr:cNvSpPr>
              <a:spLocks/>
            </xdr:cNvSpPr>
          </xdr:nvSpPr>
          <xdr:spPr bwMode="auto">
            <a:xfrm>
              <a:off x="552" y="156"/>
              <a:ext cx="18" cy="25"/>
            </a:xfrm>
            <a:custGeom>
              <a:avLst/>
              <a:gdLst>
                <a:gd name="T0" fmla="*/ 17 w 18"/>
                <a:gd name="T1" fmla="*/ 9 h 25"/>
                <a:gd name="T2" fmla="*/ 16 w 18"/>
                <a:gd name="T3" fmla="*/ 8 h 25"/>
                <a:gd name="T4" fmla="*/ 16 w 18"/>
                <a:gd name="T5" fmla="*/ 5 h 25"/>
                <a:gd name="T6" fmla="*/ 15 w 18"/>
                <a:gd name="T7" fmla="*/ 3 h 25"/>
                <a:gd name="T8" fmla="*/ 13 w 18"/>
                <a:gd name="T9" fmla="*/ 0 h 25"/>
                <a:gd name="T10" fmla="*/ 11 w 18"/>
                <a:gd name="T11" fmla="*/ 0 h 25"/>
                <a:gd name="T12" fmla="*/ 10 w 18"/>
                <a:gd name="T13" fmla="*/ 2 h 25"/>
                <a:gd name="T14" fmla="*/ 9 w 18"/>
                <a:gd name="T15" fmla="*/ 5 h 25"/>
                <a:gd name="T16" fmla="*/ 9 w 18"/>
                <a:gd name="T17" fmla="*/ 8 h 25"/>
                <a:gd name="T18" fmla="*/ 10 w 18"/>
                <a:gd name="T19" fmla="*/ 9 h 25"/>
                <a:gd name="T20" fmla="*/ 10 w 18"/>
                <a:gd name="T21" fmla="*/ 11 h 25"/>
                <a:gd name="T22" fmla="*/ 11 w 18"/>
                <a:gd name="T23" fmla="*/ 12 h 25"/>
                <a:gd name="T24" fmla="*/ 13 w 18"/>
                <a:gd name="T25" fmla="*/ 13 h 25"/>
                <a:gd name="T26" fmla="*/ 14 w 18"/>
                <a:gd name="T27" fmla="*/ 15 h 25"/>
                <a:gd name="T28" fmla="*/ 15 w 18"/>
                <a:gd name="T29" fmla="*/ 18 h 25"/>
                <a:gd name="T30" fmla="*/ 15 w 18"/>
                <a:gd name="T31" fmla="*/ 21 h 25"/>
                <a:gd name="T32" fmla="*/ 13 w 18"/>
                <a:gd name="T33" fmla="*/ 24 h 25"/>
                <a:gd name="T34" fmla="*/ 11 w 18"/>
                <a:gd name="T35" fmla="*/ 24 h 25"/>
                <a:gd name="T36" fmla="*/ 10 w 18"/>
                <a:gd name="T37" fmla="*/ 25 h 25"/>
                <a:gd name="T38" fmla="*/ 8 w 18"/>
                <a:gd name="T39" fmla="*/ 25 h 25"/>
                <a:gd name="T40" fmla="*/ 6 w 18"/>
                <a:gd name="T41" fmla="*/ 25 h 25"/>
                <a:gd name="T42" fmla="*/ 4 w 18"/>
                <a:gd name="T43" fmla="*/ 24 h 25"/>
                <a:gd name="T44" fmla="*/ 3 w 18"/>
                <a:gd name="T45" fmla="*/ 24 h 25"/>
                <a:gd name="T46" fmla="*/ 2 w 18"/>
                <a:gd name="T47" fmla="*/ 25 h 25"/>
                <a:gd name="T48" fmla="*/ 0 w 18"/>
                <a:gd name="T49" fmla="*/ 25 h 25"/>
                <a:gd name="T50" fmla="*/ 3 w 18"/>
                <a:gd name="T51" fmla="*/ 18 h 25"/>
                <a:gd name="T52" fmla="*/ 3 w 18"/>
                <a:gd name="T53" fmla="*/ 19 h 25"/>
                <a:gd name="T54" fmla="*/ 4 w 18"/>
                <a:gd name="T55" fmla="*/ 21 h 25"/>
                <a:gd name="T56" fmla="*/ 5 w 18"/>
                <a:gd name="T57" fmla="*/ 24 h 25"/>
                <a:gd name="T58" fmla="*/ 7 w 18"/>
                <a:gd name="T59" fmla="*/ 24 h 25"/>
                <a:gd name="T60" fmla="*/ 9 w 18"/>
                <a:gd name="T61" fmla="*/ 24 h 25"/>
                <a:gd name="T62" fmla="*/ 10 w 18"/>
                <a:gd name="T63" fmla="*/ 24 h 25"/>
                <a:gd name="T64" fmla="*/ 11 w 18"/>
                <a:gd name="T65" fmla="*/ 21 h 25"/>
                <a:gd name="T66" fmla="*/ 10 w 18"/>
                <a:gd name="T67" fmla="*/ 18 h 25"/>
                <a:gd name="T68" fmla="*/ 10 w 18"/>
                <a:gd name="T69" fmla="*/ 16 h 25"/>
                <a:gd name="T70" fmla="*/ 9 w 18"/>
                <a:gd name="T71" fmla="*/ 15 h 25"/>
                <a:gd name="T72" fmla="*/ 8 w 18"/>
                <a:gd name="T73" fmla="*/ 13 h 25"/>
                <a:gd name="T74" fmla="*/ 7 w 18"/>
                <a:gd name="T75" fmla="*/ 12 h 25"/>
                <a:gd name="T76" fmla="*/ 5 w 18"/>
                <a:gd name="T77" fmla="*/ 9 h 25"/>
                <a:gd name="T78" fmla="*/ 5 w 18"/>
                <a:gd name="T79" fmla="*/ 6 h 25"/>
                <a:gd name="T80" fmla="*/ 6 w 18"/>
                <a:gd name="T81" fmla="*/ 5 h 25"/>
                <a:gd name="T82" fmla="*/ 7 w 18"/>
                <a:gd name="T83" fmla="*/ 2 h 25"/>
                <a:gd name="T84" fmla="*/ 9 w 18"/>
                <a:gd name="T85" fmla="*/ 0 h 25"/>
                <a:gd name="T86" fmla="*/ 10 w 18"/>
                <a:gd name="T87" fmla="*/ 0 h 25"/>
                <a:gd name="T88" fmla="*/ 12 w 18"/>
                <a:gd name="T89" fmla="*/ 0 h 25"/>
                <a:gd name="T90" fmla="*/ 14 w 18"/>
                <a:gd name="T91" fmla="*/ 0 h 25"/>
                <a:gd name="T92" fmla="*/ 16 w 18"/>
                <a:gd name="T93" fmla="*/ 0 h 25"/>
                <a:gd name="T94" fmla="*/ 17 w 18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8"/>
                <a:gd name="T145" fmla="*/ 0 h 25"/>
                <a:gd name="T146" fmla="*/ 18 w 18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8" h="25">
                  <a:moveTo>
                    <a:pt x="18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0" y="11"/>
                  </a:lnTo>
                  <a:lnTo>
                    <a:pt x="11" y="11"/>
                  </a:lnTo>
                  <a:lnTo>
                    <a:pt x="11" y="12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3" y="19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1" y="19"/>
                  </a:lnTo>
                  <a:lnTo>
                    <a:pt x="10" y="18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0" name="Freeform 31"/>
            <xdr:cNvSpPr>
              <a:spLocks/>
            </xdr:cNvSpPr>
          </xdr:nvSpPr>
          <xdr:spPr bwMode="auto">
            <a:xfrm>
              <a:off x="569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1" name="Freeform 32"/>
            <xdr:cNvSpPr>
              <a:spLocks noEditPoints="1"/>
            </xdr:cNvSpPr>
          </xdr:nvSpPr>
          <xdr:spPr bwMode="auto">
            <a:xfrm>
              <a:off x="576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7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20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1 w 21"/>
                <a:gd name="T31" fmla="*/ 9 h 25"/>
                <a:gd name="T32" fmla="*/ 19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9 w 21"/>
                <a:gd name="T39" fmla="*/ 22 h 25"/>
                <a:gd name="T40" fmla="*/ 20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2 w 21"/>
                <a:gd name="T51" fmla="*/ 12 h 25"/>
                <a:gd name="T52" fmla="*/ 14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4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2"/>
                  </a:lnTo>
                  <a:lnTo>
                    <a:pt x="21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9" y="22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2" name="Freeform 33"/>
            <xdr:cNvSpPr>
              <a:spLocks/>
            </xdr:cNvSpPr>
          </xdr:nvSpPr>
          <xdr:spPr bwMode="auto">
            <a:xfrm>
              <a:off x="597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3" name="Freeform 34"/>
            <xdr:cNvSpPr>
              <a:spLocks/>
            </xdr:cNvSpPr>
          </xdr:nvSpPr>
          <xdr:spPr bwMode="auto">
            <a:xfrm>
              <a:off x="604" y="156"/>
              <a:ext cx="19" cy="25"/>
            </a:xfrm>
            <a:custGeom>
              <a:avLst/>
              <a:gdLst>
                <a:gd name="T0" fmla="*/ 17 w 19"/>
                <a:gd name="T1" fmla="*/ 25 h 25"/>
                <a:gd name="T2" fmla="*/ 0 w 19"/>
                <a:gd name="T3" fmla="*/ 25 h 25"/>
                <a:gd name="T4" fmla="*/ 0 w 19"/>
                <a:gd name="T5" fmla="*/ 24 h 25"/>
                <a:gd name="T6" fmla="*/ 1 w 19"/>
                <a:gd name="T7" fmla="*/ 24 h 25"/>
                <a:gd name="T8" fmla="*/ 2 w 19"/>
                <a:gd name="T9" fmla="*/ 24 h 25"/>
                <a:gd name="T10" fmla="*/ 3 w 19"/>
                <a:gd name="T11" fmla="*/ 24 h 25"/>
                <a:gd name="T12" fmla="*/ 4 w 19"/>
                <a:gd name="T13" fmla="*/ 22 h 25"/>
                <a:gd name="T14" fmla="*/ 4 w 19"/>
                <a:gd name="T15" fmla="*/ 21 h 25"/>
                <a:gd name="T16" fmla="*/ 8 w 19"/>
                <a:gd name="T17" fmla="*/ 6 h 25"/>
                <a:gd name="T18" fmla="*/ 8 w 19"/>
                <a:gd name="T19" fmla="*/ 5 h 25"/>
                <a:gd name="T20" fmla="*/ 8 w 19"/>
                <a:gd name="T21" fmla="*/ 3 h 25"/>
                <a:gd name="T22" fmla="*/ 7 w 19"/>
                <a:gd name="T23" fmla="*/ 2 h 25"/>
                <a:gd name="T24" fmla="*/ 7 w 19"/>
                <a:gd name="T25" fmla="*/ 2 h 25"/>
                <a:gd name="T26" fmla="*/ 6 w 19"/>
                <a:gd name="T27" fmla="*/ 2 h 25"/>
                <a:gd name="T28" fmla="*/ 7 w 19"/>
                <a:gd name="T29" fmla="*/ 0 h 25"/>
                <a:gd name="T30" fmla="*/ 16 w 19"/>
                <a:gd name="T31" fmla="*/ 0 h 25"/>
                <a:gd name="T32" fmla="*/ 15 w 19"/>
                <a:gd name="T33" fmla="*/ 2 h 25"/>
                <a:gd name="T34" fmla="*/ 14 w 19"/>
                <a:gd name="T35" fmla="*/ 2 h 25"/>
                <a:gd name="T36" fmla="*/ 14 w 19"/>
                <a:gd name="T37" fmla="*/ 3 h 25"/>
                <a:gd name="T38" fmla="*/ 14 w 19"/>
                <a:gd name="T39" fmla="*/ 5 h 25"/>
                <a:gd name="T40" fmla="*/ 13 w 19"/>
                <a:gd name="T41" fmla="*/ 5 h 25"/>
                <a:gd name="T42" fmla="*/ 13 w 19"/>
                <a:gd name="T43" fmla="*/ 6 h 25"/>
                <a:gd name="T44" fmla="*/ 9 w 19"/>
                <a:gd name="T45" fmla="*/ 21 h 25"/>
                <a:gd name="T46" fmla="*/ 8 w 19"/>
                <a:gd name="T47" fmla="*/ 22 h 25"/>
                <a:gd name="T48" fmla="*/ 8 w 19"/>
                <a:gd name="T49" fmla="*/ 24 h 25"/>
                <a:gd name="T50" fmla="*/ 9 w 19"/>
                <a:gd name="T51" fmla="*/ 24 h 25"/>
                <a:gd name="T52" fmla="*/ 10 w 19"/>
                <a:gd name="T53" fmla="*/ 24 h 25"/>
                <a:gd name="T54" fmla="*/ 11 w 19"/>
                <a:gd name="T55" fmla="*/ 24 h 25"/>
                <a:gd name="T56" fmla="*/ 12 w 19"/>
                <a:gd name="T57" fmla="*/ 24 h 25"/>
                <a:gd name="T58" fmla="*/ 13 w 19"/>
                <a:gd name="T59" fmla="*/ 24 h 25"/>
                <a:gd name="T60" fmla="*/ 14 w 19"/>
                <a:gd name="T61" fmla="*/ 24 h 25"/>
                <a:gd name="T62" fmla="*/ 14 w 19"/>
                <a:gd name="T63" fmla="*/ 24 h 25"/>
                <a:gd name="T64" fmla="*/ 15 w 19"/>
                <a:gd name="T65" fmla="*/ 22 h 25"/>
                <a:gd name="T66" fmla="*/ 16 w 19"/>
                <a:gd name="T67" fmla="*/ 21 h 25"/>
                <a:gd name="T68" fmla="*/ 17 w 19"/>
                <a:gd name="T69" fmla="*/ 21 h 25"/>
                <a:gd name="T70" fmla="*/ 18 w 19"/>
                <a:gd name="T71" fmla="*/ 19 h 25"/>
                <a:gd name="T72" fmla="*/ 19 w 19"/>
                <a:gd name="T73" fmla="*/ 19 h 25"/>
                <a:gd name="T74" fmla="*/ 17 w 19"/>
                <a:gd name="T75" fmla="*/ 25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19"/>
                <a:gd name="T115" fmla="*/ 0 h 25"/>
                <a:gd name="T116" fmla="*/ 19 w 19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19" h="25">
                  <a:moveTo>
                    <a:pt x="17" y="25"/>
                  </a:move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7" y="0"/>
                  </a:lnTo>
                  <a:lnTo>
                    <a:pt x="16" y="0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4" y="3"/>
                  </a:lnTo>
                  <a:lnTo>
                    <a:pt x="14" y="5"/>
                  </a:lnTo>
                  <a:lnTo>
                    <a:pt x="13" y="5"/>
                  </a:lnTo>
                  <a:lnTo>
                    <a:pt x="13" y="6"/>
                  </a:lnTo>
                  <a:lnTo>
                    <a:pt x="9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2"/>
                  </a:lnTo>
                  <a:lnTo>
                    <a:pt x="16" y="21"/>
                  </a:lnTo>
                  <a:lnTo>
                    <a:pt x="17" y="21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4" name="Freeform 35"/>
            <xdr:cNvSpPr>
              <a:spLocks/>
            </xdr:cNvSpPr>
          </xdr:nvSpPr>
          <xdr:spPr bwMode="auto">
            <a:xfrm>
              <a:off x="623" y="177"/>
              <a:ext cx="3" cy="4"/>
            </a:xfrm>
            <a:custGeom>
              <a:avLst/>
              <a:gdLst>
                <a:gd name="T0" fmla="*/ 2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2 w 3"/>
                <a:gd name="T15" fmla="*/ 4 h 4"/>
                <a:gd name="T16" fmla="*/ 1 w 3"/>
                <a:gd name="T17" fmla="*/ 4 h 4"/>
                <a:gd name="T18" fmla="*/ 1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1 w 3"/>
                <a:gd name="T25" fmla="*/ 1 h 4"/>
                <a:gd name="T26" fmla="*/ 1 w 3"/>
                <a:gd name="T27" fmla="*/ 0 h 4"/>
                <a:gd name="T28" fmla="*/ 2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2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5" name="Freeform 36"/>
            <xdr:cNvSpPr>
              <a:spLocks/>
            </xdr:cNvSpPr>
          </xdr:nvSpPr>
          <xdr:spPr bwMode="auto">
            <a:xfrm>
              <a:off x="116" y="281"/>
              <a:ext cx="431" cy="4"/>
            </a:xfrm>
            <a:custGeom>
              <a:avLst/>
              <a:gdLst>
                <a:gd name="T0" fmla="*/ 431 w 431"/>
                <a:gd name="T1" fmla="*/ 1 h 4"/>
                <a:gd name="T2" fmla="*/ 431 w 431"/>
                <a:gd name="T3" fmla="*/ 0 h 4"/>
                <a:gd name="T4" fmla="*/ 0 w 431"/>
                <a:gd name="T5" fmla="*/ 0 h 4"/>
                <a:gd name="T6" fmla="*/ 0 w 431"/>
                <a:gd name="T7" fmla="*/ 4 h 4"/>
                <a:gd name="T8" fmla="*/ 431 w 431"/>
                <a:gd name="T9" fmla="*/ 4 h 4"/>
                <a:gd name="T10" fmla="*/ 431 w 43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31"/>
                <a:gd name="T19" fmla="*/ 0 h 4"/>
                <a:gd name="T20" fmla="*/ 431 w 43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31" h="4">
                  <a:moveTo>
                    <a:pt x="431" y="1"/>
                  </a:moveTo>
                  <a:lnTo>
                    <a:pt x="43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31" y="4"/>
                  </a:lnTo>
                  <a:lnTo>
                    <a:pt x="43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6" name="Freeform 37"/>
            <xdr:cNvSpPr>
              <a:spLocks/>
            </xdr:cNvSpPr>
          </xdr:nvSpPr>
          <xdr:spPr bwMode="auto">
            <a:xfrm>
              <a:off x="618" y="238"/>
              <a:ext cx="11" cy="4"/>
            </a:xfrm>
            <a:custGeom>
              <a:avLst/>
              <a:gdLst>
                <a:gd name="T0" fmla="*/ 11 w 11"/>
                <a:gd name="T1" fmla="*/ 1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1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7" name="Freeform 38"/>
            <xdr:cNvSpPr>
              <a:spLocks/>
            </xdr:cNvSpPr>
          </xdr:nvSpPr>
          <xdr:spPr bwMode="auto">
            <a:xfrm>
              <a:off x="607" y="222"/>
              <a:ext cx="12" cy="18"/>
            </a:xfrm>
            <a:custGeom>
              <a:avLst/>
              <a:gdLst>
                <a:gd name="T0" fmla="*/ 1 w 12"/>
                <a:gd name="T1" fmla="*/ 1 h 18"/>
                <a:gd name="T2" fmla="*/ 0 w 12"/>
                <a:gd name="T3" fmla="*/ 3 h 18"/>
                <a:gd name="T4" fmla="*/ 10 w 12"/>
                <a:gd name="T5" fmla="*/ 18 h 18"/>
                <a:gd name="T6" fmla="*/ 12 w 12"/>
                <a:gd name="T7" fmla="*/ 16 h 18"/>
                <a:gd name="T8" fmla="*/ 2 w 12"/>
                <a:gd name="T9" fmla="*/ 0 h 18"/>
                <a:gd name="T10" fmla="*/ 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" y="1"/>
                  </a:moveTo>
                  <a:lnTo>
                    <a:pt x="0" y="3"/>
                  </a:lnTo>
                  <a:lnTo>
                    <a:pt x="10" y="18"/>
                  </a:lnTo>
                  <a:lnTo>
                    <a:pt x="12" y="16"/>
                  </a:lnTo>
                  <a:lnTo>
                    <a:pt x="2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8" name="Freeform 39"/>
            <xdr:cNvSpPr>
              <a:spLocks/>
            </xdr:cNvSpPr>
          </xdr:nvSpPr>
          <xdr:spPr bwMode="auto">
            <a:xfrm>
              <a:off x="554" y="206"/>
              <a:ext cx="75" cy="4"/>
            </a:xfrm>
            <a:custGeom>
              <a:avLst/>
              <a:gdLst>
                <a:gd name="T0" fmla="*/ 0 w 75"/>
                <a:gd name="T1" fmla="*/ 1 h 4"/>
                <a:gd name="T2" fmla="*/ 0 w 75"/>
                <a:gd name="T3" fmla="*/ 4 h 4"/>
                <a:gd name="T4" fmla="*/ 75 w 75"/>
                <a:gd name="T5" fmla="*/ 4 h 4"/>
                <a:gd name="T6" fmla="*/ 75 w 75"/>
                <a:gd name="T7" fmla="*/ 0 h 4"/>
                <a:gd name="T8" fmla="*/ 0 w 75"/>
                <a:gd name="T9" fmla="*/ 0 h 4"/>
                <a:gd name="T10" fmla="*/ 0 w 75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4"/>
                <a:gd name="T20" fmla="*/ 75 w 7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4">
                  <a:moveTo>
                    <a:pt x="0" y="1"/>
                  </a:moveTo>
                  <a:lnTo>
                    <a:pt x="0" y="4"/>
                  </a:lnTo>
                  <a:lnTo>
                    <a:pt x="75" y="4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9" name="Freeform 40"/>
            <xdr:cNvSpPr>
              <a:spLocks/>
            </xdr:cNvSpPr>
          </xdr:nvSpPr>
          <xdr:spPr bwMode="auto">
            <a:xfrm>
              <a:off x="628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0" name="Freeform 41"/>
            <xdr:cNvSpPr>
              <a:spLocks/>
            </xdr:cNvSpPr>
          </xdr:nvSpPr>
          <xdr:spPr bwMode="auto">
            <a:xfrm>
              <a:off x="597" y="222"/>
              <a:ext cx="12" cy="18"/>
            </a:xfrm>
            <a:custGeom>
              <a:avLst/>
              <a:gdLst>
                <a:gd name="T0" fmla="*/ 11 w 12"/>
                <a:gd name="T1" fmla="*/ 1 h 18"/>
                <a:gd name="T2" fmla="*/ 10 w 12"/>
                <a:gd name="T3" fmla="*/ 0 h 18"/>
                <a:gd name="T4" fmla="*/ 0 w 12"/>
                <a:gd name="T5" fmla="*/ 16 h 18"/>
                <a:gd name="T6" fmla="*/ 1 w 12"/>
                <a:gd name="T7" fmla="*/ 18 h 18"/>
                <a:gd name="T8" fmla="*/ 12 w 12"/>
                <a:gd name="T9" fmla="*/ 3 h 18"/>
                <a:gd name="T10" fmla="*/ 1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1" y="1"/>
                  </a:move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lnTo>
                    <a:pt x="12" y="3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1" name="Freeform 42"/>
            <xdr:cNvSpPr>
              <a:spLocks/>
            </xdr:cNvSpPr>
          </xdr:nvSpPr>
          <xdr:spPr bwMode="auto">
            <a:xfrm>
              <a:off x="553" y="238"/>
              <a:ext cx="44" cy="4"/>
            </a:xfrm>
            <a:custGeom>
              <a:avLst/>
              <a:gdLst>
                <a:gd name="T0" fmla="*/ 44 w 44"/>
                <a:gd name="T1" fmla="*/ 1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1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2" name="Freeform 43"/>
            <xdr:cNvSpPr>
              <a:spLocks/>
            </xdr:cNvSpPr>
          </xdr:nvSpPr>
          <xdr:spPr bwMode="auto">
            <a:xfrm>
              <a:off x="552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3" name="Freeform 44"/>
            <xdr:cNvSpPr>
              <a:spLocks/>
            </xdr:cNvSpPr>
          </xdr:nvSpPr>
          <xdr:spPr bwMode="auto">
            <a:xfrm>
              <a:off x="618" y="248"/>
              <a:ext cx="11" cy="4"/>
            </a:xfrm>
            <a:custGeom>
              <a:avLst/>
              <a:gdLst>
                <a:gd name="T0" fmla="*/ 11 w 11"/>
                <a:gd name="T1" fmla="*/ 3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3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4" name="Freeform 45"/>
            <xdr:cNvSpPr>
              <a:spLocks/>
            </xdr:cNvSpPr>
          </xdr:nvSpPr>
          <xdr:spPr bwMode="auto">
            <a:xfrm>
              <a:off x="607" y="249"/>
              <a:ext cx="12" cy="20"/>
            </a:xfrm>
            <a:custGeom>
              <a:avLst/>
              <a:gdLst>
                <a:gd name="T0" fmla="*/ 1 w 12"/>
                <a:gd name="T1" fmla="*/ 18 h 20"/>
                <a:gd name="T2" fmla="*/ 2 w 12"/>
                <a:gd name="T3" fmla="*/ 20 h 20"/>
                <a:gd name="T4" fmla="*/ 12 w 12"/>
                <a:gd name="T5" fmla="*/ 3 h 20"/>
                <a:gd name="T6" fmla="*/ 10 w 12"/>
                <a:gd name="T7" fmla="*/ 0 h 20"/>
                <a:gd name="T8" fmla="*/ 0 w 12"/>
                <a:gd name="T9" fmla="*/ 16 h 20"/>
                <a:gd name="T10" fmla="*/ 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" y="18"/>
                  </a:moveTo>
                  <a:lnTo>
                    <a:pt x="2" y="20"/>
                  </a:lnTo>
                  <a:lnTo>
                    <a:pt x="12" y="3"/>
                  </a:ln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5" name="Freeform 46"/>
            <xdr:cNvSpPr>
              <a:spLocks/>
            </xdr:cNvSpPr>
          </xdr:nvSpPr>
          <xdr:spPr bwMode="auto">
            <a:xfrm>
              <a:off x="554" y="280"/>
              <a:ext cx="75" cy="5"/>
            </a:xfrm>
            <a:custGeom>
              <a:avLst/>
              <a:gdLst>
                <a:gd name="T0" fmla="*/ 0 w 75"/>
                <a:gd name="T1" fmla="*/ 2 h 5"/>
                <a:gd name="T2" fmla="*/ 0 w 75"/>
                <a:gd name="T3" fmla="*/ 5 h 5"/>
                <a:gd name="T4" fmla="*/ 75 w 75"/>
                <a:gd name="T5" fmla="*/ 5 h 5"/>
                <a:gd name="T6" fmla="*/ 75 w 75"/>
                <a:gd name="T7" fmla="*/ 0 h 5"/>
                <a:gd name="T8" fmla="*/ 0 w 75"/>
                <a:gd name="T9" fmla="*/ 0 h 5"/>
                <a:gd name="T10" fmla="*/ 0 w 75"/>
                <a:gd name="T11" fmla="*/ 2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5"/>
                <a:gd name="T20" fmla="*/ 75 w 7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5">
                  <a:moveTo>
                    <a:pt x="0" y="2"/>
                  </a:moveTo>
                  <a:lnTo>
                    <a:pt x="0" y="5"/>
                  </a:lnTo>
                  <a:lnTo>
                    <a:pt x="75" y="5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6" name="Freeform 47"/>
            <xdr:cNvSpPr>
              <a:spLocks/>
            </xdr:cNvSpPr>
          </xdr:nvSpPr>
          <xdr:spPr bwMode="auto">
            <a:xfrm>
              <a:off x="628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7" name="Freeform 48"/>
            <xdr:cNvSpPr>
              <a:spLocks/>
            </xdr:cNvSpPr>
          </xdr:nvSpPr>
          <xdr:spPr bwMode="auto">
            <a:xfrm>
              <a:off x="597" y="249"/>
              <a:ext cx="12" cy="20"/>
            </a:xfrm>
            <a:custGeom>
              <a:avLst/>
              <a:gdLst>
                <a:gd name="T0" fmla="*/ 11 w 12"/>
                <a:gd name="T1" fmla="*/ 18 h 20"/>
                <a:gd name="T2" fmla="*/ 12 w 12"/>
                <a:gd name="T3" fmla="*/ 16 h 20"/>
                <a:gd name="T4" fmla="*/ 1 w 12"/>
                <a:gd name="T5" fmla="*/ 0 h 20"/>
                <a:gd name="T6" fmla="*/ 0 w 12"/>
                <a:gd name="T7" fmla="*/ 3 h 20"/>
                <a:gd name="T8" fmla="*/ 10 w 12"/>
                <a:gd name="T9" fmla="*/ 20 h 20"/>
                <a:gd name="T10" fmla="*/ 1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1" y="18"/>
                  </a:moveTo>
                  <a:lnTo>
                    <a:pt x="12" y="16"/>
                  </a:lnTo>
                  <a:lnTo>
                    <a:pt x="1" y="0"/>
                  </a:lnTo>
                  <a:lnTo>
                    <a:pt x="0" y="3"/>
                  </a:lnTo>
                  <a:lnTo>
                    <a:pt x="10" y="20"/>
                  </a:lnTo>
                  <a:lnTo>
                    <a:pt x="1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8" name="Freeform 49"/>
            <xdr:cNvSpPr>
              <a:spLocks/>
            </xdr:cNvSpPr>
          </xdr:nvSpPr>
          <xdr:spPr bwMode="auto">
            <a:xfrm>
              <a:off x="553" y="248"/>
              <a:ext cx="44" cy="4"/>
            </a:xfrm>
            <a:custGeom>
              <a:avLst/>
              <a:gdLst>
                <a:gd name="T0" fmla="*/ 44 w 44"/>
                <a:gd name="T1" fmla="*/ 3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3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9" name="Freeform 50"/>
            <xdr:cNvSpPr>
              <a:spLocks/>
            </xdr:cNvSpPr>
          </xdr:nvSpPr>
          <xdr:spPr bwMode="auto">
            <a:xfrm>
              <a:off x="552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0" name="Oval 51"/>
            <xdr:cNvSpPr>
              <a:spLocks noChangeArrowheads="1"/>
            </xdr:cNvSpPr>
          </xdr:nvSpPr>
          <xdr:spPr bwMode="auto">
            <a:xfrm>
              <a:off x="603" y="233"/>
              <a:ext cx="9" cy="18"/>
            </a:xfrm>
            <a:prstGeom prst="ellipse">
              <a:avLst/>
            </a:prstGeom>
            <a:solidFill>
              <a:srgbClr val="A9A8A7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1" name="Freeform 52"/>
            <xdr:cNvSpPr>
              <a:spLocks/>
            </xdr:cNvSpPr>
          </xdr:nvSpPr>
          <xdr:spPr bwMode="auto">
            <a:xfrm>
              <a:off x="602" y="233"/>
              <a:ext cx="6" cy="9"/>
            </a:xfrm>
            <a:custGeom>
              <a:avLst/>
              <a:gdLst>
                <a:gd name="T0" fmla="*/ 2 w 6"/>
                <a:gd name="T1" fmla="*/ 9 h 9"/>
                <a:gd name="T2" fmla="*/ 2 w 6"/>
                <a:gd name="T3" fmla="*/ 9 h 9"/>
                <a:gd name="T4" fmla="*/ 2 w 6"/>
                <a:gd name="T5" fmla="*/ 7 h 9"/>
                <a:gd name="T6" fmla="*/ 2 w 6"/>
                <a:gd name="T7" fmla="*/ 6 h 9"/>
                <a:gd name="T8" fmla="*/ 2 w 6"/>
                <a:gd name="T9" fmla="*/ 5 h 9"/>
                <a:gd name="T10" fmla="*/ 2 w 6"/>
                <a:gd name="T11" fmla="*/ 3 h 9"/>
                <a:gd name="T12" fmla="*/ 3 w 6"/>
                <a:gd name="T13" fmla="*/ 3 h 9"/>
                <a:gd name="T14" fmla="*/ 4 w 6"/>
                <a:gd name="T15" fmla="*/ 2 h 9"/>
                <a:gd name="T16" fmla="*/ 5 w 6"/>
                <a:gd name="T17" fmla="*/ 2 h 9"/>
                <a:gd name="T18" fmla="*/ 6 w 6"/>
                <a:gd name="T19" fmla="*/ 2 h 9"/>
                <a:gd name="T20" fmla="*/ 6 w 6"/>
                <a:gd name="T21" fmla="*/ 0 h 9"/>
                <a:gd name="T22" fmla="*/ 4 w 6"/>
                <a:gd name="T23" fmla="*/ 0 h 9"/>
                <a:gd name="T24" fmla="*/ 3 w 6"/>
                <a:gd name="T25" fmla="*/ 0 h 9"/>
                <a:gd name="T26" fmla="*/ 2 w 6"/>
                <a:gd name="T27" fmla="*/ 2 h 9"/>
                <a:gd name="T28" fmla="*/ 2 w 6"/>
                <a:gd name="T29" fmla="*/ 2 h 9"/>
                <a:gd name="T30" fmla="*/ 2 w 6"/>
                <a:gd name="T31" fmla="*/ 3 h 9"/>
                <a:gd name="T32" fmla="*/ 1 w 6"/>
                <a:gd name="T33" fmla="*/ 5 h 9"/>
                <a:gd name="T34" fmla="*/ 1 w 6"/>
                <a:gd name="T35" fmla="*/ 7 h 9"/>
                <a:gd name="T36" fmla="*/ 0 w 6"/>
                <a:gd name="T37" fmla="*/ 9 h 9"/>
                <a:gd name="T38" fmla="*/ 0 w 6"/>
                <a:gd name="T39" fmla="*/ 9 h 9"/>
                <a:gd name="T40" fmla="*/ 2 w 6"/>
                <a:gd name="T41" fmla="*/ 9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2" y="9"/>
                  </a:moveTo>
                  <a:lnTo>
                    <a:pt x="2" y="9"/>
                  </a:lnTo>
                  <a:lnTo>
                    <a:pt x="2" y="7"/>
                  </a:lnTo>
                  <a:lnTo>
                    <a:pt x="2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2" y="9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2" name="Freeform 53"/>
            <xdr:cNvSpPr>
              <a:spLocks/>
            </xdr:cNvSpPr>
          </xdr:nvSpPr>
          <xdr:spPr bwMode="auto">
            <a:xfrm>
              <a:off x="602" y="242"/>
              <a:ext cx="6" cy="9"/>
            </a:xfrm>
            <a:custGeom>
              <a:avLst/>
              <a:gdLst>
                <a:gd name="T0" fmla="*/ 6 w 6"/>
                <a:gd name="T1" fmla="*/ 7 h 9"/>
                <a:gd name="T2" fmla="*/ 6 w 6"/>
                <a:gd name="T3" fmla="*/ 7 h 9"/>
                <a:gd name="T4" fmla="*/ 5 w 6"/>
                <a:gd name="T5" fmla="*/ 7 h 9"/>
                <a:gd name="T6" fmla="*/ 4 w 6"/>
                <a:gd name="T7" fmla="*/ 7 h 9"/>
                <a:gd name="T8" fmla="*/ 3 w 6"/>
                <a:gd name="T9" fmla="*/ 6 h 9"/>
                <a:gd name="T10" fmla="*/ 2 w 6"/>
                <a:gd name="T11" fmla="*/ 4 h 9"/>
                <a:gd name="T12" fmla="*/ 2 w 6"/>
                <a:gd name="T13" fmla="*/ 4 h 9"/>
                <a:gd name="T14" fmla="*/ 2 w 6"/>
                <a:gd name="T15" fmla="*/ 3 h 9"/>
                <a:gd name="T16" fmla="*/ 2 w 6"/>
                <a:gd name="T17" fmla="*/ 1 h 9"/>
                <a:gd name="T18" fmla="*/ 2 w 6"/>
                <a:gd name="T19" fmla="*/ 0 h 9"/>
                <a:gd name="T20" fmla="*/ 0 w 6"/>
                <a:gd name="T21" fmla="*/ 0 h 9"/>
                <a:gd name="T22" fmla="*/ 1 w 6"/>
                <a:gd name="T23" fmla="*/ 1 h 9"/>
                <a:gd name="T24" fmla="*/ 1 w 6"/>
                <a:gd name="T25" fmla="*/ 3 h 9"/>
                <a:gd name="T26" fmla="*/ 2 w 6"/>
                <a:gd name="T27" fmla="*/ 6 h 9"/>
                <a:gd name="T28" fmla="*/ 2 w 6"/>
                <a:gd name="T29" fmla="*/ 6 h 9"/>
                <a:gd name="T30" fmla="*/ 2 w 6"/>
                <a:gd name="T31" fmla="*/ 7 h 9"/>
                <a:gd name="T32" fmla="*/ 3 w 6"/>
                <a:gd name="T33" fmla="*/ 9 h 9"/>
                <a:gd name="T34" fmla="*/ 4 w 6"/>
                <a:gd name="T35" fmla="*/ 9 h 9"/>
                <a:gd name="T36" fmla="*/ 6 w 6"/>
                <a:gd name="T37" fmla="*/ 9 h 9"/>
                <a:gd name="T38" fmla="*/ 6 w 6"/>
                <a:gd name="T39" fmla="*/ 9 h 9"/>
                <a:gd name="T40" fmla="*/ 6 w 6"/>
                <a:gd name="T41" fmla="*/ 7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6" y="7"/>
                  </a:moveTo>
                  <a:lnTo>
                    <a:pt x="6" y="7"/>
                  </a:lnTo>
                  <a:lnTo>
                    <a:pt x="5" y="7"/>
                  </a:lnTo>
                  <a:lnTo>
                    <a:pt x="4" y="7"/>
                  </a:lnTo>
                  <a:lnTo>
                    <a:pt x="3" y="6"/>
                  </a:lnTo>
                  <a:lnTo>
                    <a:pt x="2" y="4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1" y="1"/>
                  </a:lnTo>
                  <a:lnTo>
                    <a:pt x="1" y="3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6" y="9"/>
                  </a:lnTo>
                  <a:lnTo>
                    <a:pt x="6" y="7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" name="Freeform 54"/>
            <xdr:cNvSpPr>
              <a:spLocks/>
            </xdr:cNvSpPr>
          </xdr:nvSpPr>
          <xdr:spPr bwMode="auto">
            <a:xfrm>
              <a:off x="608" y="242"/>
              <a:ext cx="5" cy="9"/>
            </a:xfrm>
            <a:custGeom>
              <a:avLst/>
              <a:gdLst>
                <a:gd name="T0" fmla="*/ 4 w 5"/>
                <a:gd name="T1" fmla="*/ 0 h 9"/>
                <a:gd name="T2" fmla="*/ 4 w 5"/>
                <a:gd name="T3" fmla="*/ 0 h 9"/>
                <a:gd name="T4" fmla="*/ 3 w 5"/>
                <a:gd name="T5" fmla="*/ 1 h 9"/>
                <a:gd name="T6" fmla="*/ 3 w 5"/>
                <a:gd name="T7" fmla="*/ 3 h 9"/>
                <a:gd name="T8" fmla="*/ 3 w 5"/>
                <a:gd name="T9" fmla="*/ 4 h 9"/>
                <a:gd name="T10" fmla="*/ 3 w 5"/>
                <a:gd name="T11" fmla="*/ 4 h 9"/>
                <a:gd name="T12" fmla="*/ 2 w 5"/>
                <a:gd name="T13" fmla="*/ 6 h 9"/>
                <a:gd name="T14" fmla="*/ 2 w 5"/>
                <a:gd name="T15" fmla="*/ 7 h 9"/>
                <a:gd name="T16" fmla="*/ 1 w 5"/>
                <a:gd name="T17" fmla="*/ 7 h 9"/>
                <a:gd name="T18" fmla="*/ 0 w 5"/>
                <a:gd name="T19" fmla="*/ 7 h 9"/>
                <a:gd name="T20" fmla="*/ 0 w 5"/>
                <a:gd name="T21" fmla="*/ 9 h 9"/>
                <a:gd name="T22" fmla="*/ 1 w 5"/>
                <a:gd name="T23" fmla="*/ 9 h 9"/>
                <a:gd name="T24" fmla="*/ 2 w 5"/>
                <a:gd name="T25" fmla="*/ 9 h 9"/>
                <a:gd name="T26" fmla="*/ 3 w 5"/>
                <a:gd name="T27" fmla="*/ 7 h 9"/>
                <a:gd name="T28" fmla="*/ 3 w 5"/>
                <a:gd name="T29" fmla="*/ 6 h 9"/>
                <a:gd name="T30" fmla="*/ 4 w 5"/>
                <a:gd name="T31" fmla="*/ 6 h 9"/>
                <a:gd name="T32" fmla="*/ 4 w 5"/>
                <a:gd name="T33" fmla="*/ 3 h 9"/>
                <a:gd name="T34" fmla="*/ 5 w 5"/>
                <a:gd name="T35" fmla="*/ 1 h 9"/>
                <a:gd name="T36" fmla="*/ 5 w 5"/>
                <a:gd name="T37" fmla="*/ 0 h 9"/>
                <a:gd name="T38" fmla="*/ 5 w 5"/>
                <a:gd name="T39" fmla="*/ 0 h 9"/>
                <a:gd name="T40" fmla="*/ 4 w 5"/>
                <a:gd name="T41" fmla="*/ 0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3" y="4"/>
                  </a:lnTo>
                  <a:lnTo>
                    <a:pt x="2" y="6"/>
                  </a:lnTo>
                  <a:lnTo>
                    <a:pt x="2" y="7"/>
                  </a:lnTo>
                  <a:lnTo>
                    <a:pt x="1" y="7"/>
                  </a:lnTo>
                  <a:lnTo>
                    <a:pt x="0" y="7"/>
                  </a:lnTo>
                  <a:lnTo>
                    <a:pt x="0" y="9"/>
                  </a:lnTo>
                  <a:lnTo>
                    <a:pt x="1" y="9"/>
                  </a:lnTo>
                  <a:lnTo>
                    <a:pt x="2" y="9"/>
                  </a:lnTo>
                  <a:lnTo>
                    <a:pt x="3" y="7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3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4" name="Freeform 55"/>
            <xdr:cNvSpPr>
              <a:spLocks/>
            </xdr:cNvSpPr>
          </xdr:nvSpPr>
          <xdr:spPr bwMode="auto">
            <a:xfrm>
              <a:off x="608" y="233"/>
              <a:ext cx="5" cy="9"/>
            </a:xfrm>
            <a:custGeom>
              <a:avLst/>
              <a:gdLst>
                <a:gd name="T0" fmla="*/ 0 w 5"/>
                <a:gd name="T1" fmla="*/ 2 h 9"/>
                <a:gd name="T2" fmla="*/ 0 w 5"/>
                <a:gd name="T3" fmla="*/ 2 h 9"/>
                <a:gd name="T4" fmla="*/ 1 w 5"/>
                <a:gd name="T5" fmla="*/ 2 h 9"/>
                <a:gd name="T6" fmla="*/ 2 w 5"/>
                <a:gd name="T7" fmla="*/ 2 h 9"/>
                <a:gd name="T8" fmla="*/ 2 w 5"/>
                <a:gd name="T9" fmla="*/ 3 h 9"/>
                <a:gd name="T10" fmla="*/ 3 w 5"/>
                <a:gd name="T11" fmla="*/ 3 h 9"/>
                <a:gd name="T12" fmla="*/ 3 w 5"/>
                <a:gd name="T13" fmla="*/ 5 h 9"/>
                <a:gd name="T14" fmla="*/ 3 w 5"/>
                <a:gd name="T15" fmla="*/ 6 h 9"/>
                <a:gd name="T16" fmla="*/ 3 w 5"/>
                <a:gd name="T17" fmla="*/ 7 h 9"/>
                <a:gd name="T18" fmla="*/ 4 w 5"/>
                <a:gd name="T19" fmla="*/ 9 h 9"/>
                <a:gd name="T20" fmla="*/ 5 w 5"/>
                <a:gd name="T21" fmla="*/ 9 h 9"/>
                <a:gd name="T22" fmla="*/ 5 w 5"/>
                <a:gd name="T23" fmla="*/ 7 h 9"/>
                <a:gd name="T24" fmla="*/ 4 w 5"/>
                <a:gd name="T25" fmla="*/ 5 h 9"/>
                <a:gd name="T26" fmla="*/ 4 w 5"/>
                <a:gd name="T27" fmla="*/ 3 h 9"/>
                <a:gd name="T28" fmla="*/ 3 w 5"/>
                <a:gd name="T29" fmla="*/ 2 h 9"/>
                <a:gd name="T30" fmla="*/ 3 w 5"/>
                <a:gd name="T31" fmla="*/ 2 h 9"/>
                <a:gd name="T32" fmla="*/ 2 w 5"/>
                <a:gd name="T33" fmla="*/ 0 h 9"/>
                <a:gd name="T34" fmla="*/ 1 w 5"/>
                <a:gd name="T35" fmla="*/ 0 h 9"/>
                <a:gd name="T36" fmla="*/ 0 w 5"/>
                <a:gd name="T37" fmla="*/ 0 h 9"/>
                <a:gd name="T38" fmla="*/ 0 w 5"/>
                <a:gd name="T39" fmla="*/ 0 h 9"/>
                <a:gd name="T40" fmla="*/ 0 w 5"/>
                <a:gd name="T41" fmla="*/ 2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0" y="2"/>
                  </a:moveTo>
                  <a:lnTo>
                    <a:pt x="0" y="2"/>
                  </a:lnTo>
                  <a:lnTo>
                    <a:pt x="1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3" y="3"/>
                  </a:lnTo>
                  <a:lnTo>
                    <a:pt x="3" y="5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142875</xdr:rowOff>
    </xdr:from>
    <xdr:to>
      <xdr:col>5</xdr:col>
      <xdr:colOff>264903</xdr:colOff>
      <xdr:row>5</xdr:row>
      <xdr:rowOff>95250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38100" y="142875"/>
          <a:ext cx="4608303" cy="809625"/>
          <a:chOff x="112" y="156"/>
          <a:chExt cx="519" cy="129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12" y="196"/>
            <a:ext cx="458" cy="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Av. Alvear N° 1448 - Esquel - Chubut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Tel/Fax (02945)451003 E-Mail: administracionpasquini@speedy.com.ar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C.U.I.T 30-67034174-3 L.C. N° 03117 I.B. 01091  I.E.R.I.C. N° 73589 4</a:t>
            </a:r>
          </a:p>
          <a:p>
            <a:pPr algn="l" rtl="1">
              <a:defRPr sz="1000"/>
            </a:pPr>
            <a:endParaRPr lang="es-AR" sz="1000" b="1" i="0" strike="noStrike">
              <a:solidFill>
                <a:srgbClr val="000000"/>
              </a:solidFill>
              <a:latin typeface="Swis721 Ex BT"/>
            </a:endParaRPr>
          </a:p>
        </xdr:txBody>
      </xdr:sp>
      <xdr:grpSp>
        <xdr:nvGrpSpPr>
          <xdr:cNvPr id="4" name="Group 7"/>
          <xdr:cNvGrpSpPr>
            <a:grpSpLocks/>
          </xdr:cNvGrpSpPr>
        </xdr:nvGrpSpPr>
        <xdr:grpSpPr bwMode="auto">
          <a:xfrm>
            <a:off x="116" y="156"/>
            <a:ext cx="515" cy="129"/>
            <a:chOff x="116" y="156"/>
            <a:chExt cx="515" cy="129"/>
          </a:xfrm>
        </xdr:grpSpPr>
        <xdr:sp macro="" textlink="">
          <xdr:nvSpPr>
            <xdr:cNvPr id="5" name="Freeform 8"/>
            <xdr:cNvSpPr>
              <a:spLocks noEditPoints="1"/>
            </xdr:cNvSpPr>
          </xdr:nvSpPr>
          <xdr:spPr bwMode="auto">
            <a:xfrm>
              <a:off x="11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9 w 21"/>
                <a:gd name="T5" fmla="*/ 24 h 25"/>
                <a:gd name="T6" fmla="*/ 10 w 21"/>
                <a:gd name="T7" fmla="*/ 25 h 25"/>
                <a:gd name="T8" fmla="*/ 0 w 21"/>
                <a:gd name="T9" fmla="*/ 24 h 25"/>
                <a:gd name="T10" fmla="*/ 1 w 21"/>
                <a:gd name="T11" fmla="*/ 24 h 25"/>
                <a:gd name="T12" fmla="*/ 3 w 21"/>
                <a:gd name="T13" fmla="*/ 24 h 25"/>
                <a:gd name="T14" fmla="*/ 3 w 21"/>
                <a:gd name="T15" fmla="*/ 21 h 25"/>
                <a:gd name="T16" fmla="*/ 8 w 21"/>
                <a:gd name="T17" fmla="*/ 3 h 25"/>
                <a:gd name="T18" fmla="*/ 7 w 21"/>
                <a:gd name="T19" fmla="*/ 2 h 25"/>
                <a:gd name="T20" fmla="*/ 6 w 21"/>
                <a:gd name="T21" fmla="*/ 0 h 25"/>
                <a:gd name="T22" fmla="*/ 15 w 21"/>
                <a:gd name="T23" fmla="*/ 0 h 25"/>
                <a:gd name="T24" fmla="*/ 16 w 21"/>
                <a:gd name="T25" fmla="*/ 0 h 25"/>
                <a:gd name="T26" fmla="*/ 18 w 21"/>
                <a:gd name="T27" fmla="*/ 2 h 25"/>
                <a:gd name="T28" fmla="*/ 19 w 21"/>
                <a:gd name="T29" fmla="*/ 3 h 25"/>
                <a:gd name="T30" fmla="*/ 20 w 21"/>
                <a:gd name="T31" fmla="*/ 5 h 25"/>
                <a:gd name="T32" fmla="*/ 21 w 21"/>
                <a:gd name="T33" fmla="*/ 6 h 25"/>
                <a:gd name="T34" fmla="*/ 21 w 21"/>
                <a:gd name="T35" fmla="*/ 9 h 25"/>
                <a:gd name="T36" fmla="*/ 20 w 21"/>
                <a:gd name="T37" fmla="*/ 11 h 25"/>
                <a:gd name="T38" fmla="*/ 19 w 21"/>
                <a:gd name="T39" fmla="*/ 12 h 25"/>
                <a:gd name="T40" fmla="*/ 17 w 21"/>
                <a:gd name="T41" fmla="*/ 13 h 25"/>
                <a:gd name="T42" fmla="*/ 15 w 21"/>
                <a:gd name="T43" fmla="*/ 13 h 25"/>
                <a:gd name="T44" fmla="*/ 14 w 21"/>
                <a:gd name="T45" fmla="*/ 13 h 25"/>
                <a:gd name="T46" fmla="*/ 12 w 21"/>
                <a:gd name="T47" fmla="*/ 13 h 25"/>
                <a:gd name="T48" fmla="*/ 10 w 21"/>
                <a:gd name="T49" fmla="*/ 13 h 25"/>
                <a:gd name="T50" fmla="*/ 10 w 21"/>
                <a:gd name="T51" fmla="*/ 13 h 25"/>
                <a:gd name="T52" fmla="*/ 12 w 21"/>
                <a:gd name="T53" fmla="*/ 13 h 25"/>
                <a:gd name="T54" fmla="*/ 14 w 21"/>
                <a:gd name="T55" fmla="*/ 12 h 25"/>
                <a:gd name="T56" fmla="*/ 15 w 21"/>
                <a:gd name="T57" fmla="*/ 11 h 25"/>
                <a:gd name="T58" fmla="*/ 16 w 21"/>
                <a:gd name="T59" fmla="*/ 8 h 25"/>
                <a:gd name="T60" fmla="*/ 16 w 21"/>
                <a:gd name="T61" fmla="*/ 5 h 25"/>
                <a:gd name="T62" fmla="*/ 15 w 21"/>
                <a:gd name="T63" fmla="*/ 2 h 25"/>
                <a:gd name="T64" fmla="*/ 14 w 21"/>
                <a:gd name="T65" fmla="*/ 2 h 25"/>
                <a:gd name="T66" fmla="*/ 10 w 21"/>
                <a:gd name="T67" fmla="*/ 13 h 25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1"/>
                <a:gd name="T103" fmla="*/ 0 h 25"/>
                <a:gd name="T104" fmla="*/ 21 w 21"/>
                <a:gd name="T105" fmla="*/ 25 h 25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1" h="25">
                  <a:moveTo>
                    <a:pt x="9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8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lnTo>
                    <a:pt x="9" y="13"/>
                  </a:lnTo>
                  <a:close/>
                  <a:moveTo>
                    <a:pt x="10" y="13"/>
                  </a:moveTo>
                  <a:lnTo>
                    <a:pt x="11" y="13"/>
                  </a:lnTo>
                  <a:lnTo>
                    <a:pt x="12" y="13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3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" name="Freeform 9"/>
            <xdr:cNvSpPr>
              <a:spLocks noEditPoints="1"/>
            </xdr:cNvSpPr>
          </xdr:nvSpPr>
          <xdr:spPr bwMode="auto">
            <a:xfrm>
              <a:off x="133" y="156"/>
              <a:ext cx="20" cy="25"/>
            </a:xfrm>
            <a:custGeom>
              <a:avLst/>
              <a:gdLst>
                <a:gd name="T0" fmla="*/ 14 w 20"/>
                <a:gd name="T1" fmla="*/ 16 h 25"/>
                <a:gd name="T2" fmla="*/ 7 w 20"/>
                <a:gd name="T3" fmla="*/ 16 h 25"/>
                <a:gd name="T4" fmla="*/ 6 w 20"/>
                <a:gd name="T5" fmla="*/ 19 h 25"/>
                <a:gd name="T6" fmla="*/ 4 w 20"/>
                <a:gd name="T7" fmla="*/ 21 h 25"/>
                <a:gd name="T8" fmla="*/ 3 w 20"/>
                <a:gd name="T9" fmla="*/ 22 h 25"/>
                <a:gd name="T10" fmla="*/ 3 w 20"/>
                <a:gd name="T11" fmla="*/ 24 h 25"/>
                <a:gd name="T12" fmla="*/ 4 w 20"/>
                <a:gd name="T13" fmla="*/ 24 h 25"/>
                <a:gd name="T14" fmla="*/ 5 w 20"/>
                <a:gd name="T15" fmla="*/ 24 h 25"/>
                <a:gd name="T16" fmla="*/ 5 w 20"/>
                <a:gd name="T17" fmla="*/ 25 h 25"/>
                <a:gd name="T18" fmla="*/ 0 w 20"/>
                <a:gd name="T19" fmla="*/ 25 h 25"/>
                <a:gd name="T20" fmla="*/ 0 w 20"/>
                <a:gd name="T21" fmla="*/ 24 h 25"/>
                <a:gd name="T22" fmla="*/ 0 w 20"/>
                <a:gd name="T23" fmla="*/ 24 h 25"/>
                <a:gd name="T24" fmla="*/ 1 w 20"/>
                <a:gd name="T25" fmla="*/ 24 h 25"/>
                <a:gd name="T26" fmla="*/ 2 w 20"/>
                <a:gd name="T27" fmla="*/ 22 h 25"/>
                <a:gd name="T28" fmla="*/ 3 w 20"/>
                <a:gd name="T29" fmla="*/ 21 h 25"/>
                <a:gd name="T30" fmla="*/ 17 w 20"/>
                <a:gd name="T31" fmla="*/ 0 h 25"/>
                <a:gd name="T32" fmla="*/ 18 w 20"/>
                <a:gd name="T33" fmla="*/ 0 h 25"/>
                <a:gd name="T34" fmla="*/ 18 w 20"/>
                <a:gd name="T35" fmla="*/ 19 h 25"/>
                <a:gd name="T36" fmla="*/ 18 w 20"/>
                <a:gd name="T37" fmla="*/ 21 h 25"/>
                <a:gd name="T38" fmla="*/ 18 w 20"/>
                <a:gd name="T39" fmla="*/ 22 h 25"/>
                <a:gd name="T40" fmla="*/ 18 w 20"/>
                <a:gd name="T41" fmla="*/ 24 h 25"/>
                <a:gd name="T42" fmla="*/ 19 w 20"/>
                <a:gd name="T43" fmla="*/ 24 h 25"/>
                <a:gd name="T44" fmla="*/ 20 w 20"/>
                <a:gd name="T45" fmla="*/ 24 h 25"/>
                <a:gd name="T46" fmla="*/ 20 w 20"/>
                <a:gd name="T47" fmla="*/ 25 h 25"/>
                <a:gd name="T48" fmla="*/ 11 w 20"/>
                <a:gd name="T49" fmla="*/ 25 h 25"/>
                <a:gd name="T50" fmla="*/ 11 w 20"/>
                <a:gd name="T51" fmla="*/ 24 h 25"/>
                <a:gd name="T52" fmla="*/ 12 w 20"/>
                <a:gd name="T53" fmla="*/ 24 h 25"/>
                <a:gd name="T54" fmla="*/ 13 w 20"/>
                <a:gd name="T55" fmla="*/ 24 h 25"/>
                <a:gd name="T56" fmla="*/ 14 w 20"/>
                <a:gd name="T57" fmla="*/ 24 h 25"/>
                <a:gd name="T58" fmla="*/ 14 w 20"/>
                <a:gd name="T59" fmla="*/ 22 h 25"/>
                <a:gd name="T60" fmla="*/ 14 w 20"/>
                <a:gd name="T61" fmla="*/ 21 h 25"/>
                <a:gd name="T62" fmla="*/ 14 w 20"/>
                <a:gd name="T63" fmla="*/ 16 h 25"/>
                <a:gd name="T64" fmla="*/ 14 w 20"/>
                <a:gd name="T65" fmla="*/ 16 h 25"/>
                <a:gd name="T66" fmla="*/ 14 w 20"/>
                <a:gd name="T67" fmla="*/ 8 h 25"/>
                <a:gd name="T68" fmla="*/ 7 w 20"/>
                <a:gd name="T69" fmla="*/ 16 h 25"/>
                <a:gd name="T70" fmla="*/ 14 w 20"/>
                <a:gd name="T71" fmla="*/ 16 h 25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0"/>
                <a:gd name="T109" fmla="*/ 0 h 25"/>
                <a:gd name="T110" fmla="*/ 20 w 20"/>
                <a:gd name="T111" fmla="*/ 25 h 25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0" h="25">
                  <a:moveTo>
                    <a:pt x="14" y="16"/>
                  </a:moveTo>
                  <a:lnTo>
                    <a:pt x="7" y="16"/>
                  </a:lnTo>
                  <a:lnTo>
                    <a:pt x="6" y="19"/>
                  </a:lnTo>
                  <a:lnTo>
                    <a:pt x="4" y="21"/>
                  </a:lnTo>
                  <a:lnTo>
                    <a:pt x="3" y="22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5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2"/>
                  </a:lnTo>
                  <a:lnTo>
                    <a:pt x="3" y="21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8" y="19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0" y="25"/>
                  </a:lnTo>
                  <a:lnTo>
                    <a:pt x="11" y="25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4" y="22"/>
                  </a:lnTo>
                  <a:lnTo>
                    <a:pt x="14" y="21"/>
                  </a:lnTo>
                  <a:lnTo>
                    <a:pt x="14" y="16"/>
                  </a:lnTo>
                  <a:close/>
                  <a:moveTo>
                    <a:pt x="14" y="16"/>
                  </a:moveTo>
                  <a:lnTo>
                    <a:pt x="14" y="8"/>
                  </a:lnTo>
                  <a:lnTo>
                    <a:pt x="7" y="16"/>
                  </a:lnTo>
                  <a:lnTo>
                    <a:pt x="14" y="16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" name="Freeform 10"/>
            <xdr:cNvSpPr>
              <a:spLocks/>
            </xdr:cNvSpPr>
          </xdr:nvSpPr>
          <xdr:spPr bwMode="auto">
            <a:xfrm>
              <a:off x="154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" name="Freeform 11"/>
            <xdr:cNvSpPr>
              <a:spLocks noEditPoints="1"/>
            </xdr:cNvSpPr>
          </xdr:nvSpPr>
          <xdr:spPr bwMode="auto">
            <a:xfrm>
              <a:off x="174" y="156"/>
              <a:ext cx="20" cy="32"/>
            </a:xfrm>
            <a:custGeom>
              <a:avLst/>
              <a:gdLst>
                <a:gd name="T0" fmla="*/ 5 w 20"/>
                <a:gd name="T1" fmla="*/ 27 h 32"/>
                <a:gd name="T2" fmla="*/ 8 w 20"/>
                <a:gd name="T3" fmla="*/ 27 h 32"/>
                <a:gd name="T4" fmla="*/ 10 w 20"/>
                <a:gd name="T5" fmla="*/ 27 h 32"/>
                <a:gd name="T6" fmla="*/ 12 w 20"/>
                <a:gd name="T7" fmla="*/ 29 h 32"/>
                <a:gd name="T8" fmla="*/ 15 w 20"/>
                <a:gd name="T9" fmla="*/ 29 h 32"/>
                <a:gd name="T10" fmla="*/ 17 w 20"/>
                <a:gd name="T11" fmla="*/ 28 h 32"/>
                <a:gd name="T12" fmla="*/ 19 w 20"/>
                <a:gd name="T13" fmla="*/ 27 h 32"/>
                <a:gd name="T14" fmla="*/ 18 w 20"/>
                <a:gd name="T15" fmla="*/ 29 h 32"/>
                <a:gd name="T16" fmla="*/ 16 w 20"/>
                <a:gd name="T17" fmla="*/ 31 h 32"/>
                <a:gd name="T18" fmla="*/ 14 w 20"/>
                <a:gd name="T19" fmla="*/ 32 h 32"/>
                <a:gd name="T20" fmla="*/ 11 w 20"/>
                <a:gd name="T21" fmla="*/ 32 h 32"/>
                <a:gd name="T22" fmla="*/ 8 w 20"/>
                <a:gd name="T23" fmla="*/ 32 h 32"/>
                <a:gd name="T24" fmla="*/ 7 w 20"/>
                <a:gd name="T25" fmla="*/ 31 h 32"/>
                <a:gd name="T26" fmla="*/ 5 w 20"/>
                <a:gd name="T27" fmla="*/ 29 h 32"/>
                <a:gd name="T28" fmla="*/ 2 w 20"/>
                <a:gd name="T29" fmla="*/ 29 h 32"/>
                <a:gd name="T30" fmla="*/ 0 w 20"/>
                <a:gd name="T31" fmla="*/ 29 h 32"/>
                <a:gd name="T32" fmla="*/ 4 w 20"/>
                <a:gd name="T33" fmla="*/ 24 h 32"/>
                <a:gd name="T34" fmla="*/ 1 w 20"/>
                <a:gd name="T35" fmla="*/ 24 h 32"/>
                <a:gd name="T36" fmla="*/ 1 w 20"/>
                <a:gd name="T37" fmla="*/ 21 h 32"/>
                <a:gd name="T38" fmla="*/ 0 w 20"/>
                <a:gd name="T39" fmla="*/ 16 h 32"/>
                <a:gd name="T40" fmla="*/ 1 w 20"/>
                <a:gd name="T41" fmla="*/ 12 h 32"/>
                <a:gd name="T42" fmla="*/ 2 w 20"/>
                <a:gd name="T43" fmla="*/ 8 h 32"/>
                <a:gd name="T44" fmla="*/ 4 w 20"/>
                <a:gd name="T45" fmla="*/ 5 h 32"/>
                <a:gd name="T46" fmla="*/ 7 w 20"/>
                <a:gd name="T47" fmla="*/ 2 h 32"/>
                <a:gd name="T48" fmla="*/ 9 w 20"/>
                <a:gd name="T49" fmla="*/ 0 h 32"/>
                <a:gd name="T50" fmla="*/ 12 w 20"/>
                <a:gd name="T51" fmla="*/ 0 h 32"/>
                <a:gd name="T52" fmla="*/ 15 w 20"/>
                <a:gd name="T53" fmla="*/ 0 h 32"/>
                <a:gd name="T54" fmla="*/ 17 w 20"/>
                <a:gd name="T55" fmla="*/ 2 h 32"/>
                <a:gd name="T56" fmla="*/ 19 w 20"/>
                <a:gd name="T57" fmla="*/ 5 h 32"/>
                <a:gd name="T58" fmla="*/ 20 w 20"/>
                <a:gd name="T59" fmla="*/ 8 h 32"/>
                <a:gd name="T60" fmla="*/ 19 w 20"/>
                <a:gd name="T61" fmla="*/ 11 h 32"/>
                <a:gd name="T62" fmla="*/ 18 w 20"/>
                <a:gd name="T63" fmla="*/ 13 h 32"/>
                <a:gd name="T64" fmla="*/ 16 w 20"/>
                <a:gd name="T65" fmla="*/ 18 h 32"/>
                <a:gd name="T66" fmla="*/ 15 w 20"/>
                <a:gd name="T67" fmla="*/ 21 h 32"/>
                <a:gd name="T68" fmla="*/ 14 w 20"/>
                <a:gd name="T69" fmla="*/ 22 h 32"/>
                <a:gd name="T70" fmla="*/ 11 w 20"/>
                <a:gd name="T71" fmla="*/ 24 h 32"/>
                <a:gd name="T72" fmla="*/ 9 w 20"/>
                <a:gd name="T73" fmla="*/ 25 h 32"/>
                <a:gd name="T74" fmla="*/ 7 w 20"/>
                <a:gd name="T75" fmla="*/ 25 h 32"/>
                <a:gd name="T76" fmla="*/ 12 w 20"/>
                <a:gd name="T77" fmla="*/ 0 h 32"/>
                <a:gd name="T78" fmla="*/ 9 w 20"/>
                <a:gd name="T79" fmla="*/ 2 h 32"/>
                <a:gd name="T80" fmla="*/ 8 w 20"/>
                <a:gd name="T81" fmla="*/ 6 h 32"/>
                <a:gd name="T82" fmla="*/ 6 w 20"/>
                <a:gd name="T83" fmla="*/ 8 h 32"/>
                <a:gd name="T84" fmla="*/ 5 w 20"/>
                <a:gd name="T85" fmla="*/ 12 h 32"/>
                <a:gd name="T86" fmla="*/ 4 w 20"/>
                <a:gd name="T87" fmla="*/ 15 h 32"/>
                <a:gd name="T88" fmla="*/ 4 w 20"/>
                <a:gd name="T89" fmla="*/ 19 h 32"/>
                <a:gd name="T90" fmla="*/ 5 w 20"/>
                <a:gd name="T91" fmla="*/ 24 h 32"/>
                <a:gd name="T92" fmla="*/ 8 w 20"/>
                <a:gd name="T93" fmla="*/ 24 h 32"/>
                <a:gd name="T94" fmla="*/ 10 w 20"/>
                <a:gd name="T95" fmla="*/ 24 h 32"/>
                <a:gd name="T96" fmla="*/ 12 w 20"/>
                <a:gd name="T97" fmla="*/ 21 h 32"/>
                <a:gd name="T98" fmla="*/ 13 w 20"/>
                <a:gd name="T99" fmla="*/ 16 h 32"/>
                <a:gd name="T100" fmla="*/ 15 w 20"/>
                <a:gd name="T101" fmla="*/ 13 h 32"/>
                <a:gd name="T102" fmla="*/ 15 w 20"/>
                <a:gd name="T103" fmla="*/ 9 h 32"/>
                <a:gd name="T104" fmla="*/ 15 w 20"/>
                <a:gd name="T105" fmla="*/ 5 h 32"/>
                <a:gd name="T106" fmla="*/ 15 w 20"/>
                <a:gd name="T107" fmla="*/ 0 h 32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20"/>
                <a:gd name="T163" fmla="*/ 0 h 32"/>
                <a:gd name="T164" fmla="*/ 20 w 20"/>
                <a:gd name="T165" fmla="*/ 32 h 32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20" h="32">
                  <a:moveTo>
                    <a:pt x="6" y="25"/>
                  </a:moveTo>
                  <a:lnTo>
                    <a:pt x="4" y="27"/>
                  </a:lnTo>
                  <a:lnTo>
                    <a:pt x="5" y="27"/>
                  </a:lnTo>
                  <a:lnTo>
                    <a:pt x="6" y="27"/>
                  </a:lnTo>
                  <a:lnTo>
                    <a:pt x="7" y="27"/>
                  </a:lnTo>
                  <a:lnTo>
                    <a:pt x="8" y="27"/>
                  </a:lnTo>
                  <a:lnTo>
                    <a:pt x="9" y="27"/>
                  </a:lnTo>
                  <a:lnTo>
                    <a:pt x="10" y="27"/>
                  </a:lnTo>
                  <a:lnTo>
                    <a:pt x="10" y="28"/>
                  </a:lnTo>
                  <a:lnTo>
                    <a:pt x="11" y="28"/>
                  </a:lnTo>
                  <a:lnTo>
                    <a:pt x="12" y="29"/>
                  </a:lnTo>
                  <a:lnTo>
                    <a:pt x="13" y="29"/>
                  </a:lnTo>
                  <a:lnTo>
                    <a:pt x="14" y="29"/>
                  </a:lnTo>
                  <a:lnTo>
                    <a:pt x="15" y="29"/>
                  </a:lnTo>
                  <a:lnTo>
                    <a:pt x="16" y="29"/>
                  </a:lnTo>
                  <a:lnTo>
                    <a:pt x="17" y="28"/>
                  </a:lnTo>
                  <a:lnTo>
                    <a:pt x="18" y="28"/>
                  </a:lnTo>
                  <a:lnTo>
                    <a:pt x="18" y="27"/>
                  </a:lnTo>
                  <a:lnTo>
                    <a:pt x="19" y="27"/>
                  </a:lnTo>
                  <a:lnTo>
                    <a:pt x="19" y="28"/>
                  </a:lnTo>
                  <a:lnTo>
                    <a:pt x="18" y="28"/>
                  </a:lnTo>
                  <a:lnTo>
                    <a:pt x="18" y="29"/>
                  </a:lnTo>
                  <a:lnTo>
                    <a:pt x="17" y="29"/>
                  </a:lnTo>
                  <a:lnTo>
                    <a:pt x="16" y="29"/>
                  </a:lnTo>
                  <a:lnTo>
                    <a:pt x="16" y="31"/>
                  </a:lnTo>
                  <a:lnTo>
                    <a:pt x="15" y="31"/>
                  </a:lnTo>
                  <a:lnTo>
                    <a:pt x="15" y="32"/>
                  </a:lnTo>
                  <a:lnTo>
                    <a:pt x="14" y="32"/>
                  </a:lnTo>
                  <a:lnTo>
                    <a:pt x="13" y="32"/>
                  </a:lnTo>
                  <a:lnTo>
                    <a:pt x="12" y="32"/>
                  </a:lnTo>
                  <a:lnTo>
                    <a:pt x="11" y="32"/>
                  </a:lnTo>
                  <a:lnTo>
                    <a:pt x="10" y="32"/>
                  </a:lnTo>
                  <a:lnTo>
                    <a:pt x="9" y="32"/>
                  </a:lnTo>
                  <a:lnTo>
                    <a:pt x="8" y="32"/>
                  </a:lnTo>
                  <a:lnTo>
                    <a:pt x="7" y="32"/>
                  </a:lnTo>
                  <a:lnTo>
                    <a:pt x="7" y="31"/>
                  </a:lnTo>
                  <a:lnTo>
                    <a:pt x="6" y="31"/>
                  </a:lnTo>
                  <a:lnTo>
                    <a:pt x="5" y="31"/>
                  </a:lnTo>
                  <a:lnTo>
                    <a:pt x="5" y="29"/>
                  </a:lnTo>
                  <a:lnTo>
                    <a:pt x="4" y="29"/>
                  </a:lnTo>
                  <a:lnTo>
                    <a:pt x="3" y="29"/>
                  </a:lnTo>
                  <a:lnTo>
                    <a:pt x="2" y="29"/>
                  </a:lnTo>
                  <a:lnTo>
                    <a:pt x="1" y="29"/>
                  </a:lnTo>
                  <a:lnTo>
                    <a:pt x="1" y="31"/>
                  </a:lnTo>
                  <a:lnTo>
                    <a:pt x="0" y="29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7" y="16"/>
                  </a:lnTo>
                  <a:lnTo>
                    <a:pt x="16" y="18"/>
                  </a:lnTo>
                  <a:lnTo>
                    <a:pt x="16" y="19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2"/>
                  </a:lnTo>
                  <a:lnTo>
                    <a:pt x="12" y="22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9"/>
                  </a:lnTo>
                  <a:lnTo>
                    <a:pt x="15" y="8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9" name="Freeform 12"/>
            <xdr:cNvSpPr>
              <a:spLocks/>
            </xdr:cNvSpPr>
          </xdr:nvSpPr>
          <xdr:spPr bwMode="auto">
            <a:xfrm>
              <a:off x="196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1 w 22"/>
                <a:gd name="T3" fmla="*/ 2 h 25"/>
                <a:gd name="T4" fmla="*/ 20 w 22"/>
                <a:gd name="T5" fmla="*/ 5 h 25"/>
                <a:gd name="T6" fmla="*/ 19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3 w 22"/>
                <a:gd name="T13" fmla="*/ 24 h 25"/>
                <a:gd name="T14" fmla="*/ 11 w 22"/>
                <a:gd name="T15" fmla="*/ 24 h 25"/>
                <a:gd name="T16" fmla="*/ 9 w 22"/>
                <a:gd name="T17" fmla="*/ 25 h 25"/>
                <a:gd name="T18" fmla="*/ 7 w 22"/>
                <a:gd name="T19" fmla="*/ 25 h 25"/>
                <a:gd name="T20" fmla="*/ 6 w 22"/>
                <a:gd name="T21" fmla="*/ 25 h 25"/>
                <a:gd name="T22" fmla="*/ 4 w 22"/>
                <a:gd name="T23" fmla="*/ 24 h 25"/>
                <a:gd name="T24" fmla="*/ 2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4 w 22"/>
                <a:gd name="T33" fmla="*/ 5 h 25"/>
                <a:gd name="T34" fmla="*/ 3 w 22"/>
                <a:gd name="T35" fmla="*/ 2 h 25"/>
                <a:gd name="T36" fmla="*/ 1 w 22"/>
                <a:gd name="T37" fmla="*/ 2 h 25"/>
                <a:gd name="T38" fmla="*/ 12 w 22"/>
                <a:gd name="T39" fmla="*/ 0 h 25"/>
                <a:gd name="T40" fmla="*/ 11 w 22"/>
                <a:gd name="T41" fmla="*/ 2 h 25"/>
                <a:gd name="T42" fmla="*/ 9 w 22"/>
                <a:gd name="T43" fmla="*/ 3 h 25"/>
                <a:gd name="T44" fmla="*/ 8 w 22"/>
                <a:gd name="T45" fmla="*/ 5 h 25"/>
                <a:gd name="T46" fmla="*/ 6 w 22"/>
                <a:gd name="T47" fmla="*/ 16 h 25"/>
                <a:gd name="T48" fmla="*/ 5 w 22"/>
                <a:gd name="T49" fmla="*/ 18 h 25"/>
                <a:gd name="T50" fmla="*/ 5 w 22"/>
                <a:gd name="T51" fmla="*/ 21 h 25"/>
                <a:gd name="T52" fmla="*/ 7 w 22"/>
                <a:gd name="T53" fmla="*/ 24 h 25"/>
                <a:gd name="T54" fmla="*/ 8 w 22"/>
                <a:gd name="T55" fmla="*/ 24 h 25"/>
                <a:gd name="T56" fmla="*/ 10 w 22"/>
                <a:gd name="T57" fmla="*/ 24 h 25"/>
                <a:gd name="T58" fmla="*/ 11 w 22"/>
                <a:gd name="T59" fmla="*/ 22 h 25"/>
                <a:gd name="T60" fmla="*/ 13 w 22"/>
                <a:gd name="T61" fmla="*/ 21 h 25"/>
                <a:gd name="T62" fmla="*/ 14 w 22"/>
                <a:gd name="T63" fmla="*/ 19 h 25"/>
                <a:gd name="T64" fmla="*/ 14 w 22"/>
                <a:gd name="T65" fmla="*/ 18 h 25"/>
                <a:gd name="T66" fmla="*/ 18 w 22"/>
                <a:gd name="T67" fmla="*/ 6 h 25"/>
                <a:gd name="T68" fmla="*/ 18 w 22"/>
                <a:gd name="T69" fmla="*/ 3 h 25"/>
                <a:gd name="T70" fmla="*/ 16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19" y="5"/>
                  </a:lnTo>
                  <a:lnTo>
                    <a:pt x="19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2" y="0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6" y="16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2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8" y="6"/>
                  </a:lnTo>
                  <a:lnTo>
                    <a:pt x="18" y="5"/>
                  </a:lnTo>
                  <a:lnTo>
                    <a:pt x="18" y="3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0" name="Freeform 13"/>
            <xdr:cNvSpPr>
              <a:spLocks/>
            </xdr:cNvSpPr>
          </xdr:nvSpPr>
          <xdr:spPr bwMode="auto">
            <a:xfrm>
              <a:off x="215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9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2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1" name="Freeform 14"/>
            <xdr:cNvSpPr>
              <a:spLocks/>
            </xdr:cNvSpPr>
          </xdr:nvSpPr>
          <xdr:spPr bwMode="auto">
            <a:xfrm>
              <a:off x="227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2 w 26"/>
                <a:gd name="T7" fmla="*/ 5 h 25"/>
                <a:gd name="T8" fmla="*/ 22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5 w 26"/>
                <a:gd name="T25" fmla="*/ 2 h 25"/>
                <a:gd name="T26" fmla="*/ 24 w 26"/>
                <a:gd name="T27" fmla="*/ 3 h 25"/>
                <a:gd name="T28" fmla="*/ 23 w 26"/>
                <a:gd name="T29" fmla="*/ 3 h 25"/>
                <a:gd name="T30" fmla="*/ 23 w 26"/>
                <a:gd name="T31" fmla="*/ 5 h 25"/>
                <a:gd name="T32" fmla="*/ 23 w 26"/>
                <a:gd name="T33" fmla="*/ 6 h 25"/>
                <a:gd name="T34" fmla="*/ 18 w 26"/>
                <a:gd name="T35" fmla="*/ 25 h 25"/>
                <a:gd name="T36" fmla="*/ 17 w 26"/>
                <a:gd name="T37" fmla="*/ 25 h 25"/>
                <a:gd name="T38" fmla="*/ 9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1 w 26"/>
                <a:gd name="T59" fmla="*/ 24 h 25"/>
                <a:gd name="T60" fmla="*/ 2 w 26"/>
                <a:gd name="T61" fmla="*/ 24 h 25"/>
                <a:gd name="T62" fmla="*/ 3 w 26"/>
                <a:gd name="T63" fmla="*/ 24 h 25"/>
                <a:gd name="T64" fmla="*/ 4 w 26"/>
                <a:gd name="T65" fmla="*/ 22 h 25"/>
                <a:gd name="T66" fmla="*/ 4 w 26"/>
                <a:gd name="T67" fmla="*/ 21 h 25"/>
                <a:gd name="T68" fmla="*/ 8 w 26"/>
                <a:gd name="T69" fmla="*/ 3 h 25"/>
                <a:gd name="T70" fmla="*/ 8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2" name="Freeform 15"/>
            <xdr:cNvSpPr>
              <a:spLocks/>
            </xdr:cNvSpPr>
          </xdr:nvSpPr>
          <xdr:spPr bwMode="auto">
            <a:xfrm>
              <a:off x="249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3" name="Freeform 16"/>
            <xdr:cNvSpPr>
              <a:spLocks/>
            </xdr:cNvSpPr>
          </xdr:nvSpPr>
          <xdr:spPr bwMode="auto">
            <a:xfrm>
              <a:off x="271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6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9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6 w 20"/>
                <a:gd name="T45" fmla="*/ 19 h 25"/>
                <a:gd name="T46" fmla="*/ 16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9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2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2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6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6" y="19"/>
                  </a:lnTo>
                  <a:lnTo>
                    <a:pt x="16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2" y="21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4" name="Freeform 17"/>
            <xdr:cNvSpPr>
              <a:spLocks noEditPoints="1"/>
            </xdr:cNvSpPr>
          </xdr:nvSpPr>
          <xdr:spPr bwMode="auto">
            <a:xfrm>
              <a:off x="291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4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2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8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19 w 20"/>
                <a:gd name="T47" fmla="*/ 13 h 25"/>
                <a:gd name="T48" fmla="*/ 18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2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2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4 w 20"/>
                <a:gd name="T81" fmla="*/ 16 h 25"/>
                <a:gd name="T82" fmla="*/ 4 w 20"/>
                <a:gd name="T83" fmla="*/ 19 h 25"/>
                <a:gd name="T84" fmla="*/ 4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1 w 20"/>
                <a:gd name="T93" fmla="*/ 22 h 25"/>
                <a:gd name="T94" fmla="*/ 12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5" name="Freeform 18"/>
            <xdr:cNvSpPr>
              <a:spLocks/>
            </xdr:cNvSpPr>
          </xdr:nvSpPr>
          <xdr:spPr bwMode="auto">
            <a:xfrm>
              <a:off x="310" y="156"/>
              <a:ext cx="27" cy="25"/>
            </a:xfrm>
            <a:custGeom>
              <a:avLst/>
              <a:gdLst>
                <a:gd name="T0" fmla="*/ 12 w 27"/>
                <a:gd name="T1" fmla="*/ 0 h 25"/>
                <a:gd name="T2" fmla="*/ 19 w 27"/>
                <a:gd name="T3" fmla="*/ 16 h 25"/>
                <a:gd name="T4" fmla="*/ 21 w 27"/>
                <a:gd name="T5" fmla="*/ 6 h 25"/>
                <a:gd name="T6" fmla="*/ 22 w 27"/>
                <a:gd name="T7" fmla="*/ 5 h 25"/>
                <a:gd name="T8" fmla="*/ 22 w 27"/>
                <a:gd name="T9" fmla="*/ 3 h 25"/>
                <a:gd name="T10" fmla="*/ 21 w 27"/>
                <a:gd name="T11" fmla="*/ 3 h 25"/>
                <a:gd name="T12" fmla="*/ 21 w 27"/>
                <a:gd name="T13" fmla="*/ 2 h 25"/>
                <a:gd name="T14" fmla="*/ 20 w 27"/>
                <a:gd name="T15" fmla="*/ 2 h 25"/>
                <a:gd name="T16" fmla="*/ 20 w 27"/>
                <a:gd name="T17" fmla="*/ 2 h 25"/>
                <a:gd name="T18" fmla="*/ 20 w 27"/>
                <a:gd name="T19" fmla="*/ 0 h 25"/>
                <a:gd name="T20" fmla="*/ 27 w 27"/>
                <a:gd name="T21" fmla="*/ 0 h 25"/>
                <a:gd name="T22" fmla="*/ 26 w 27"/>
                <a:gd name="T23" fmla="*/ 2 h 25"/>
                <a:gd name="T24" fmla="*/ 25 w 27"/>
                <a:gd name="T25" fmla="*/ 2 h 25"/>
                <a:gd name="T26" fmla="*/ 24 w 27"/>
                <a:gd name="T27" fmla="*/ 3 h 25"/>
                <a:gd name="T28" fmla="*/ 23 w 27"/>
                <a:gd name="T29" fmla="*/ 3 h 25"/>
                <a:gd name="T30" fmla="*/ 23 w 27"/>
                <a:gd name="T31" fmla="*/ 5 h 25"/>
                <a:gd name="T32" fmla="*/ 23 w 27"/>
                <a:gd name="T33" fmla="*/ 6 h 25"/>
                <a:gd name="T34" fmla="*/ 18 w 27"/>
                <a:gd name="T35" fmla="*/ 25 h 25"/>
                <a:gd name="T36" fmla="*/ 17 w 27"/>
                <a:gd name="T37" fmla="*/ 25 h 25"/>
                <a:gd name="T38" fmla="*/ 9 w 27"/>
                <a:gd name="T39" fmla="*/ 5 h 25"/>
                <a:gd name="T40" fmla="*/ 5 w 27"/>
                <a:gd name="T41" fmla="*/ 21 h 25"/>
                <a:gd name="T42" fmla="*/ 5 w 27"/>
                <a:gd name="T43" fmla="*/ 22 h 25"/>
                <a:gd name="T44" fmla="*/ 5 w 27"/>
                <a:gd name="T45" fmla="*/ 24 h 25"/>
                <a:gd name="T46" fmla="*/ 6 w 27"/>
                <a:gd name="T47" fmla="*/ 24 h 25"/>
                <a:gd name="T48" fmla="*/ 6 w 27"/>
                <a:gd name="T49" fmla="*/ 24 h 25"/>
                <a:gd name="T50" fmla="*/ 7 w 27"/>
                <a:gd name="T51" fmla="*/ 24 h 25"/>
                <a:gd name="T52" fmla="*/ 6 w 27"/>
                <a:gd name="T53" fmla="*/ 25 h 25"/>
                <a:gd name="T54" fmla="*/ 0 w 27"/>
                <a:gd name="T55" fmla="*/ 25 h 25"/>
                <a:gd name="T56" fmla="*/ 0 w 27"/>
                <a:gd name="T57" fmla="*/ 24 h 25"/>
                <a:gd name="T58" fmla="*/ 1 w 27"/>
                <a:gd name="T59" fmla="*/ 24 h 25"/>
                <a:gd name="T60" fmla="*/ 2 w 27"/>
                <a:gd name="T61" fmla="*/ 24 h 25"/>
                <a:gd name="T62" fmla="*/ 3 w 27"/>
                <a:gd name="T63" fmla="*/ 24 h 25"/>
                <a:gd name="T64" fmla="*/ 4 w 27"/>
                <a:gd name="T65" fmla="*/ 22 h 25"/>
                <a:gd name="T66" fmla="*/ 4 w 27"/>
                <a:gd name="T67" fmla="*/ 21 h 25"/>
                <a:gd name="T68" fmla="*/ 8 w 27"/>
                <a:gd name="T69" fmla="*/ 3 h 25"/>
                <a:gd name="T70" fmla="*/ 8 w 27"/>
                <a:gd name="T71" fmla="*/ 2 h 25"/>
                <a:gd name="T72" fmla="*/ 7 w 27"/>
                <a:gd name="T73" fmla="*/ 2 h 25"/>
                <a:gd name="T74" fmla="*/ 6 w 27"/>
                <a:gd name="T75" fmla="*/ 2 h 25"/>
                <a:gd name="T76" fmla="*/ 6 w 27"/>
                <a:gd name="T77" fmla="*/ 2 h 25"/>
                <a:gd name="T78" fmla="*/ 6 w 27"/>
                <a:gd name="T79" fmla="*/ 0 h 25"/>
                <a:gd name="T80" fmla="*/ 12 w 27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7"/>
                <a:gd name="T124" fmla="*/ 0 h 25"/>
                <a:gd name="T125" fmla="*/ 27 w 27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7" h="25">
                  <a:moveTo>
                    <a:pt x="12" y="0"/>
                  </a:moveTo>
                  <a:lnTo>
                    <a:pt x="19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20" y="0"/>
                  </a:lnTo>
                  <a:lnTo>
                    <a:pt x="27" y="0"/>
                  </a:lnTo>
                  <a:lnTo>
                    <a:pt x="26" y="2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6" name="Freeform 19"/>
            <xdr:cNvSpPr>
              <a:spLocks/>
            </xdr:cNvSpPr>
          </xdr:nvSpPr>
          <xdr:spPr bwMode="auto">
            <a:xfrm>
              <a:off x="332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3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3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3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6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5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5 w 19"/>
                <a:gd name="T77" fmla="*/ 9 h 25"/>
                <a:gd name="T78" fmla="*/ 5 w 19"/>
                <a:gd name="T79" fmla="*/ 6 h 25"/>
                <a:gd name="T80" fmla="*/ 6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2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7" name="Freeform 20"/>
            <xdr:cNvSpPr>
              <a:spLocks/>
            </xdr:cNvSpPr>
          </xdr:nvSpPr>
          <xdr:spPr bwMode="auto">
            <a:xfrm>
              <a:off x="352" y="156"/>
              <a:ext cx="20" cy="25"/>
            </a:xfrm>
            <a:custGeom>
              <a:avLst/>
              <a:gdLst>
                <a:gd name="T0" fmla="*/ 4 w 20"/>
                <a:gd name="T1" fmla="*/ 0 h 25"/>
                <a:gd name="T2" fmla="*/ 20 w 20"/>
                <a:gd name="T3" fmla="*/ 0 h 25"/>
                <a:gd name="T4" fmla="*/ 18 w 20"/>
                <a:gd name="T5" fmla="*/ 8 h 25"/>
                <a:gd name="T6" fmla="*/ 17 w 20"/>
                <a:gd name="T7" fmla="*/ 8 h 25"/>
                <a:gd name="T8" fmla="*/ 17 w 20"/>
                <a:gd name="T9" fmla="*/ 6 h 25"/>
                <a:gd name="T10" fmla="*/ 17 w 20"/>
                <a:gd name="T11" fmla="*/ 5 h 25"/>
                <a:gd name="T12" fmla="*/ 16 w 20"/>
                <a:gd name="T13" fmla="*/ 3 h 25"/>
                <a:gd name="T14" fmla="*/ 15 w 20"/>
                <a:gd name="T15" fmla="*/ 2 h 25"/>
                <a:gd name="T16" fmla="*/ 14 w 20"/>
                <a:gd name="T17" fmla="*/ 2 h 25"/>
                <a:gd name="T18" fmla="*/ 13 w 20"/>
                <a:gd name="T19" fmla="*/ 2 h 25"/>
                <a:gd name="T20" fmla="*/ 9 w 20"/>
                <a:gd name="T21" fmla="*/ 21 h 25"/>
                <a:gd name="T22" fmla="*/ 8 w 20"/>
                <a:gd name="T23" fmla="*/ 21 h 25"/>
                <a:gd name="T24" fmla="*/ 8 w 20"/>
                <a:gd name="T25" fmla="*/ 22 h 25"/>
                <a:gd name="T26" fmla="*/ 8 w 20"/>
                <a:gd name="T27" fmla="*/ 24 h 25"/>
                <a:gd name="T28" fmla="*/ 9 w 20"/>
                <a:gd name="T29" fmla="*/ 24 h 25"/>
                <a:gd name="T30" fmla="*/ 10 w 20"/>
                <a:gd name="T31" fmla="*/ 24 h 25"/>
                <a:gd name="T32" fmla="*/ 11 w 20"/>
                <a:gd name="T33" fmla="*/ 24 h 25"/>
                <a:gd name="T34" fmla="*/ 11 w 20"/>
                <a:gd name="T35" fmla="*/ 25 h 25"/>
                <a:gd name="T36" fmla="*/ 0 w 20"/>
                <a:gd name="T37" fmla="*/ 25 h 25"/>
                <a:gd name="T38" fmla="*/ 0 w 20"/>
                <a:gd name="T39" fmla="*/ 24 h 25"/>
                <a:gd name="T40" fmla="*/ 1 w 20"/>
                <a:gd name="T41" fmla="*/ 24 h 25"/>
                <a:gd name="T42" fmla="*/ 2 w 20"/>
                <a:gd name="T43" fmla="*/ 24 h 25"/>
                <a:gd name="T44" fmla="*/ 3 w 20"/>
                <a:gd name="T45" fmla="*/ 24 h 25"/>
                <a:gd name="T46" fmla="*/ 4 w 20"/>
                <a:gd name="T47" fmla="*/ 24 h 25"/>
                <a:gd name="T48" fmla="*/ 4 w 20"/>
                <a:gd name="T49" fmla="*/ 22 h 25"/>
                <a:gd name="T50" fmla="*/ 4 w 20"/>
                <a:gd name="T51" fmla="*/ 21 h 25"/>
                <a:gd name="T52" fmla="*/ 9 w 20"/>
                <a:gd name="T53" fmla="*/ 2 h 25"/>
                <a:gd name="T54" fmla="*/ 8 w 20"/>
                <a:gd name="T55" fmla="*/ 2 h 25"/>
                <a:gd name="T56" fmla="*/ 7 w 20"/>
                <a:gd name="T57" fmla="*/ 2 h 25"/>
                <a:gd name="T58" fmla="*/ 6 w 20"/>
                <a:gd name="T59" fmla="*/ 2 h 25"/>
                <a:gd name="T60" fmla="*/ 6 w 20"/>
                <a:gd name="T61" fmla="*/ 3 h 25"/>
                <a:gd name="T62" fmla="*/ 5 w 20"/>
                <a:gd name="T63" fmla="*/ 5 h 25"/>
                <a:gd name="T64" fmla="*/ 4 w 20"/>
                <a:gd name="T65" fmla="*/ 5 h 25"/>
                <a:gd name="T66" fmla="*/ 4 w 20"/>
                <a:gd name="T67" fmla="*/ 6 h 25"/>
                <a:gd name="T68" fmla="*/ 3 w 20"/>
                <a:gd name="T69" fmla="*/ 6 h 25"/>
                <a:gd name="T70" fmla="*/ 3 w 20"/>
                <a:gd name="T71" fmla="*/ 8 h 25"/>
                <a:gd name="T72" fmla="*/ 2 w 20"/>
                <a:gd name="T73" fmla="*/ 8 h 25"/>
                <a:gd name="T74" fmla="*/ 4 w 20"/>
                <a:gd name="T75" fmla="*/ 0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"/>
                <a:gd name="T115" fmla="*/ 0 h 25"/>
                <a:gd name="T116" fmla="*/ 20 w 20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" h="25">
                  <a:moveTo>
                    <a:pt x="4" y="0"/>
                  </a:moveTo>
                  <a:lnTo>
                    <a:pt x="20" y="0"/>
                  </a:lnTo>
                  <a:lnTo>
                    <a:pt x="18" y="8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9" y="21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9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3"/>
                  </a:lnTo>
                  <a:lnTo>
                    <a:pt x="5" y="5"/>
                  </a:lnTo>
                  <a:lnTo>
                    <a:pt x="4" y="5"/>
                  </a:lnTo>
                  <a:lnTo>
                    <a:pt x="4" y="6"/>
                  </a:lnTo>
                  <a:lnTo>
                    <a:pt x="3" y="6"/>
                  </a:lnTo>
                  <a:lnTo>
                    <a:pt x="3" y="8"/>
                  </a:lnTo>
                  <a:lnTo>
                    <a:pt x="2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8" name="Freeform 21"/>
            <xdr:cNvSpPr>
              <a:spLocks noEditPoints="1"/>
            </xdr:cNvSpPr>
          </xdr:nvSpPr>
          <xdr:spPr bwMode="auto">
            <a:xfrm>
              <a:off x="36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6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19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0 w 21"/>
                <a:gd name="T31" fmla="*/ 9 h 25"/>
                <a:gd name="T32" fmla="*/ 18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8 w 21"/>
                <a:gd name="T39" fmla="*/ 22 h 25"/>
                <a:gd name="T40" fmla="*/ 19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1 w 21"/>
                <a:gd name="T51" fmla="*/ 12 h 25"/>
                <a:gd name="T52" fmla="*/ 13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3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2"/>
                  </a:lnTo>
                  <a:lnTo>
                    <a:pt x="20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19" y="11"/>
                  </a:lnTo>
                  <a:lnTo>
                    <a:pt x="18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3" y="11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19" name="Freeform 22"/>
            <xdr:cNvSpPr>
              <a:spLocks/>
            </xdr:cNvSpPr>
          </xdr:nvSpPr>
          <xdr:spPr bwMode="auto">
            <a:xfrm>
              <a:off x="392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0 w 22"/>
                <a:gd name="T3" fmla="*/ 2 h 25"/>
                <a:gd name="T4" fmla="*/ 19 w 22"/>
                <a:gd name="T5" fmla="*/ 5 h 25"/>
                <a:gd name="T6" fmla="*/ 18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2 w 22"/>
                <a:gd name="T13" fmla="*/ 24 h 25"/>
                <a:gd name="T14" fmla="*/ 10 w 22"/>
                <a:gd name="T15" fmla="*/ 24 h 25"/>
                <a:gd name="T16" fmla="*/ 8 w 22"/>
                <a:gd name="T17" fmla="*/ 25 h 25"/>
                <a:gd name="T18" fmla="*/ 7 w 22"/>
                <a:gd name="T19" fmla="*/ 25 h 25"/>
                <a:gd name="T20" fmla="*/ 5 w 22"/>
                <a:gd name="T21" fmla="*/ 25 h 25"/>
                <a:gd name="T22" fmla="*/ 3 w 22"/>
                <a:gd name="T23" fmla="*/ 24 h 25"/>
                <a:gd name="T24" fmla="*/ 1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3 w 22"/>
                <a:gd name="T33" fmla="*/ 5 h 25"/>
                <a:gd name="T34" fmla="*/ 2 w 22"/>
                <a:gd name="T35" fmla="*/ 2 h 25"/>
                <a:gd name="T36" fmla="*/ 1 w 22"/>
                <a:gd name="T37" fmla="*/ 2 h 25"/>
                <a:gd name="T38" fmla="*/ 11 w 22"/>
                <a:gd name="T39" fmla="*/ 0 h 25"/>
                <a:gd name="T40" fmla="*/ 10 w 22"/>
                <a:gd name="T41" fmla="*/ 2 h 25"/>
                <a:gd name="T42" fmla="*/ 8 w 22"/>
                <a:gd name="T43" fmla="*/ 3 h 25"/>
                <a:gd name="T44" fmla="*/ 8 w 22"/>
                <a:gd name="T45" fmla="*/ 5 h 25"/>
                <a:gd name="T46" fmla="*/ 5 w 22"/>
                <a:gd name="T47" fmla="*/ 16 h 25"/>
                <a:gd name="T48" fmla="*/ 4 w 22"/>
                <a:gd name="T49" fmla="*/ 18 h 25"/>
                <a:gd name="T50" fmla="*/ 4 w 22"/>
                <a:gd name="T51" fmla="*/ 21 h 25"/>
                <a:gd name="T52" fmla="*/ 6 w 22"/>
                <a:gd name="T53" fmla="*/ 24 h 25"/>
                <a:gd name="T54" fmla="*/ 8 w 22"/>
                <a:gd name="T55" fmla="*/ 24 h 25"/>
                <a:gd name="T56" fmla="*/ 9 w 22"/>
                <a:gd name="T57" fmla="*/ 24 h 25"/>
                <a:gd name="T58" fmla="*/ 10 w 22"/>
                <a:gd name="T59" fmla="*/ 22 h 25"/>
                <a:gd name="T60" fmla="*/ 12 w 22"/>
                <a:gd name="T61" fmla="*/ 21 h 25"/>
                <a:gd name="T62" fmla="*/ 13 w 22"/>
                <a:gd name="T63" fmla="*/ 19 h 25"/>
                <a:gd name="T64" fmla="*/ 14 w 22"/>
                <a:gd name="T65" fmla="*/ 18 h 25"/>
                <a:gd name="T66" fmla="*/ 17 w 22"/>
                <a:gd name="T67" fmla="*/ 6 h 25"/>
                <a:gd name="T68" fmla="*/ 17 w 22"/>
                <a:gd name="T69" fmla="*/ 3 h 25"/>
                <a:gd name="T70" fmla="*/ 15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3"/>
                  </a:lnTo>
                  <a:lnTo>
                    <a:pt x="19" y="5"/>
                  </a:lnTo>
                  <a:lnTo>
                    <a:pt x="18" y="5"/>
                  </a:lnTo>
                  <a:lnTo>
                    <a:pt x="18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3" y="22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3" y="6"/>
                  </a:lnTo>
                  <a:lnTo>
                    <a:pt x="3" y="5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5" y="16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2"/>
                  </a:lnTo>
                  <a:lnTo>
                    <a:pt x="11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0" name="Freeform 23"/>
            <xdr:cNvSpPr>
              <a:spLocks/>
            </xdr:cNvSpPr>
          </xdr:nvSpPr>
          <xdr:spPr bwMode="auto">
            <a:xfrm>
              <a:off x="413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1" name="Freeform 24"/>
            <xdr:cNvSpPr>
              <a:spLocks/>
            </xdr:cNvSpPr>
          </xdr:nvSpPr>
          <xdr:spPr bwMode="auto">
            <a:xfrm>
              <a:off x="434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2" name="Freeform 25"/>
            <xdr:cNvSpPr>
              <a:spLocks/>
            </xdr:cNvSpPr>
          </xdr:nvSpPr>
          <xdr:spPr bwMode="auto">
            <a:xfrm>
              <a:off x="451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1 w 16"/>
                <a:gd name="T27" fmla="*/ 24 h 25"/>
                <a:gd name="T28" fmla="*/ 11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4 w 16"/>
                <a:gd name="T41" fmla="*/ 22 h 25"/>
                <a:gd name="T42" fmla="*/ 4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3" name="Freeform 26"/>
            <xdr:cNvSpPr>
              <a:spLocks noEditPoints="1"/>
            </xdr:cNvSpPr>
          </xdr:nvSpPr>
          <xdr:spPr bwMode="auto">
            <a:xfrm>
              <a:off x="465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5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3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9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20 w 20"/>
                <a:gd name="T47" fmla="*/ 13 h 25"/>
                <a:gd name="T48" fmla="*/ 19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3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3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5 w 20"/>
                <a:gd name="T81" fmla="*/ 16 h 25"/>
                <a:gd name="T82" fmla="*/ 5 w 20"/>
                <a:gd name="T83" fmla="*/ 19 h 25"/>
                <a:gd name="T84" fmla="*/ 5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2 w 20"/>
                <a:gd name="T93" fmla="*/ 22 h 25"/>
                <a:gd name="T94" fmla="*/ 13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20" y="12"/>
                  </a:lnTo>
                  <a:lnTo>
                    <a:pt x="20" y="13"/>
                  </a:lnTo>
                  <a:lnTo>
                    <a:pt x="19" y="13"/>
                  </a:lnTo>
                  <a:lnTo>
                    <a:pt x="19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3" y="0"/>
                  </a:lnTo>
                  <a:lnTo>
                    <a:pt x="12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4" name="Freeform 27"/>
            <xdr:cNvSpPr>
              <a:spLocks/>
            </xdr:cNvSpPr>
          </xdr:nvSpPr>
          <xdr:spPr bwMode="auto">
            <a:xfrm>
              <a:off x="485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1 w 26"/>
                <a:gd name="T7" fmla="*/ 5 h 25"/>
                <a:gd name="T8" fmla="*/ 21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4 w 26"/>
                <a:gd name="T25" fmla="*/ 2 h 25"/>
                <a:gd name="T26" fmla="*/ 23 w 26"/>
                <a:gd name="T27" fmla="*/ 3 h 25"/>
                <a:gd name="T28" fmla="*/ 22 w 26"/>
                <a:gd name="T29" fmla="*/ 3 h 25"/>
                <a:gd name="T30" fmla="*/ 22 w 26"/>
                <a:gd name="T31" fmla="*/ 5 h 25"/>
                <a:gd name="T32" fmla="*/ 22 w 26"/>
                <a:gd name="T33" fmla="*/ 6 h 25"/>
                <a:gd name="T34" fmla="*/ 17 w 26"/>
                <a:gd name="T35" fmla="*/ 25 h 25"/>
                <a:gd name="T36" fmla="*/ 16 w 26"/>
                <a:gd name="T37" fmla="*/ 25 h 25"/>
                <a:gd name="T38" fmla="*/ 8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0 w 26"/>
                <a:gd name="T59" fmla="*/ 24 h 25"/>
                <a:gd name="T60" fmla="*/ 1 w 26"/>
                <a:gd name="T61" fmla="*/ 24 h 25"/>
                <a:gd name="T62" fmla="*/ 2 w 26"/>
                <a:gd name="T63" fmla="*/ 24 h 25"/>
                <a:gd name="T64" fmla="*/ 3 w 26"/>
                <a:gd name="T65" fmla="*/ 22 h 25"/>
                <a:gd name="T66" fmla="*/ 3 w 26"/>
                <a:gd name="T67" fmla="*/ 21 h 25"/>
                <a:gd name="T68" fmla="*/ 7 w 26"/>
                <a:gd name="T69" fmla="*/ 3 h 25"/>
                <a:gd name="T70" fmla="*/ 7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2"/>
                  </a:lnTo>
                  <a:lnTo>
                    <a:pt x="23" y="3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8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5" name="Freeform 28"/>
            <xdr:cNvSpPr>
              <a:spLocks/>
            </xdr:cNvSpPr>
          </xdr:nvSpPr>
          <xdr:spPr bwMode="auto">
            <a:xfrm>
              <a:off x="507" y="156"/>
              <a:ext cx="23" cy="25"/>
            </a:xfrm>
            <a:custGeom>
              <a:avLst/>
              <a:gdLst>
                <a:gd name="T0" fmla="*/ 11 w 23"/>
                <a:gd name="T1" fmla="*/ 12 h 25"/>
                <a:gd name="T2" fmla="*/ 13 w 23"/>
                <a:gd name="T3" fmla="*/ 12 h 25"/>
                <a:gd name="T4" fmla="*/ 14 w 23"/>
                <a:gd name="T5" fmla="*/ 12 h 25"/>
                <a:gd name="T6" fmla="*/ 16 w 23"/>
                <a:gd name="T7" fmla="*/ 11 h 25"/>
                <a:gd name="T8" fmla="*/ 17 w 23"/>
                <a:gd name="T9" fmla="*/ 9 h 25"/>
                <a:gd name="T10" fmla="*/ 18 w 23"/>
                <a:gd name="T11" fmla="*/ 8 h 25"/>
                <a:gd name="T12" fmla="*/ 15 w 23"/>
                <a:gd name="T13" fmla="*/ 16 h 25"/>
                <a:gd name="T14" fmla="*/ 15 w 23"/>
                <a:gd name="T15" fmla="*/ 13 h 25"/>
                <a:gd name="T16" fmla="*/ 13 w 23"/>
                <a:gd name="T17" fmla="*/ 13 h 25"/>
                <a:gd name="T18" fmla="*/ 12 w 23"/>
                <a:gd name="T19" fmla="*/ 13 h 25"/>
                <a:gd name="T20" fmla="*/ 8 w 23"/>
                <a:gd name="T21" fmla="*/ 21 h 25"/>
                <a:gd name="T22" fmla="*/ 8 w 23"/>
                <a:gd name="T23" fmla="*/ 24 h 25"/>
                <a:gd name="T24" fmla="*/ 10 w 23"/>
                <a:gd name="T25" fmla="*/ 24 h 25"/>
                <a:gd name="T26" fmla="*/ 12 w 23"/>
                <a:gd name="T27" fmla="*/ 24 h 25"/>
                <a:gd name="T28" fmla="*/ 13 w 23"/>
                <a:gd name="T29" fmla="*/ 24 h 25"/>
                <a:gd name="T30" fmla="*/ 15 w 23"/>
                <a:gd name="T31" fmla="*/ 24 h 25"/>
                <a:gd name="T32" fmla="*/ 17 w 23"/>
                <a:gd name="T33" fmla="*/ 21 h 25"/>
                <a:gd name="T34" fmla="*/ 19 w 23"/>
                <a:gd name="T35" fmla="*/ 19 h 25"/>
                <a:gd name="T36" fmla="*/ 18 w 23"/>
                <a:gd name="T37" fmla="*/ 25 h 25"/>
                <a:gd name="T38" fmla="*/ 0 w 23"/>
                <a:gd name="T39" fmla="*/ 24 h 25"/>
                <a:gd name="T40" fmla="*/ 2 w 23"/>
                <a:gd name="T41" fmla="*/ 24 h 25"/>
                <a:gd name="T42" fmla="*/ 4 w 23"/>
                <a:gd name="T43" fmla="*/ 22 h 25"/>
                <a:gd name="T44" fmla="*/ 8 w 23"/>
                <a:gd name="T45" fmla="*/ 6 h 25"/>
                <a:gd name="T46" fmla="*/ 8 w 23"/>
                <a:gd name="T47" fmla="*/ 3 h 25"/>
                <a:gd name="T48" fmla="*/ 6 w 23"/>
                <a:gd name="T49" fmla="*/ 2 h 25"/>
                <a:gd name="T50" fmla="*/ 6 w 23"/>
                <a:gd name="T51" fmla="*/ 0 h 25"/>
                <a:gd name="T52" fmla="*/ 21 w 23"/>
                <a:gd name="T53" fmla="*/ 8 h 25"/>
                <a:gd name="T54" fmla="*/ 20 w 23"/>
                <a:gd name="T55" fmla="*/ 6 h 25"/>
                <a:gd name="T56" fmla="*/ 20 w 23"/>
                <a:gd name="T57" fmla="*/ 5 h 25"/>
                <a:gd name="T58" fmla="*/ 19 w 23"/>
                <a:gd name="T59" fmla="*/ 3 h 25"/>
                <a:gd name="T60" fmla="*/ 17 w 23"/>
                <a:gd name="T61" fmla="*/ 2 h 25"/>
                <a:gd name="T62" fmla="*/ 15 w 23"/>
                <a:gd name="T63" fmla="*/ 2 h 2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3"/>
                <a:gd name="T97" fmla="*/ 0 h 25"/>
                <a:gd name="T98" fmla="*/ 23 w 23"/>
                <a:gd name="T99" fmla="*/ 25 h 2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3" h="25">
                  <a:moveTo>
                    <a:pt x="13" y="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8" y="8"/>
                  </a:lnTo>
                  <a:lnTo>
                    <a:pt x="16" y="16"/>
                  </a:lnTo>
                  <a:lnTo>
                    <a:pt x="15" y="16"/>
                  </a:lnTo>
                  <a:lnTo>
                    <a:pt x="15" y="15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4"/>
                  </a:lnTo>
                  <a:lnTo>
                    <a:pt x="16" y="22"/>
                  </a:lnTo>
                  <a:lnTo>
                    <a:pt x="17" y="21"/>
                  </a:lnTo>
                  <a:lnTo>
                    <a:pt x="18" y="21"/>
                  </a:lnTo>
                  <a:lnTo>
                    <a:pt x="19" y="19"/>
                  </a:lnTo>
                  <a:lnTo>
                    <a:pt x="20" y="19"/>
                  </a:lnTo>
                  <a:lnTo>
                    <a:pt x="18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23" y="0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6"/>
                  </a:lnTo>
                  <a:lnTo>
                    <a:pt x="20" y="5"/>
                  </a:lnTo>
                  <a:lnTo>
                    <a:pt x="20" y="3"/>
                  </a:lnTo>
                  <a:lnTo>
                    <a:pt x="19" y="3"/>
                  </a:lnTo>
                  <a:lnTo>
                    <a:pt x="18" y="2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3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6" name="Freeform 29"/>
            <xdr:cNvSpPr>
              <a:spLocks/>
            </xdr:cNvSpPr>
          </xdr:nvSpPr>
          <xdr:spPr bwMode="auto">
            <a:xfrm>
              <a:off x="527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7" name="Freeform 30"/>
            <xdr:cNvSpPr>
              <a:spLocks/>
            </xdr:cNvSpPr>
          </xdr:nvSpPr>
          <xdr:spPr bwMode="auto">
            <a:xfrm>
              <a:off x="552" y="156"/>
              <a:ext cx="18" cy="25"/>
            </a:xfrm>
            <a:custGeom>
              <a:avLst/>
              <a:gdLst>
                <a:gd name="T0" fmla="*/ 17 w 18"/>
                <a:gd name="T1" fmla="*/ 9 h 25"/>
                <a:gd name="T2" fmla="*/ 16 w 18"/>
                <a:gd name="T3" fmla="*/ 8 h 25"/>
                <a:gd name="T4" fmla="*/ 16 w 18"/>
                <a:gd name="T5" fmla="*/ 5 h 25"/>
                <a:gd name="T6" fmla="*/ 15 w 18"/>
                <a:gd name="T7" fmla="*/ 3 h 25"/>
                <a:gd name="T8" fmla="*/ 13 w 18"/>
                <a:gd name="T9" fmla="*/ 0 h 25"/>
                <a:gd name="T10" fmla="*/ 11 w 18"/>
                <a:gd name="T11" fmla="*/ 0 h 25"/>
                <a:gd name="T12" fmla="*/ 10 w 18"/>
                <a:gd name="T13" fmla="*/ 2 h 25"/>
                <a:gd name="T14" fmla="*/ 9 w 18"/>
                <a:gd name="T15" fmla="*/ 5 h 25"/>
                <a:gd name="T16" fmla="*/ 9 w 18"/>
                <a:gd name="T17" fmla="*/ 8 h 25"/>
                <a:gd name="T18" fmla="*/ 10 w 18"/>
                <a:gd name="T19" fmla="*/ 9 h 25"/>
                <a:gd name="T20" fmla="*/ 10 w 18"/>
                <a:gd name="T21" fmla="*/ 11 h 25"/>
                <a:gd name="T22" fmla="*/ 11 w 18"/>
                <a:gd name="T23" fmla="*/ 12 h 25"/>
                <a:gd name="T24" fmla="*/ 13 w 18"/>
                <a:gd name="T25" fmla="*/ 13 h 25"/>
                <a:gd name="T26" fmla="*/ 14 w 18"/>
                <a:gd name="T27" fmla="*/ 15 h 25"/>
                <a:gd name="T28" fmla="*/ 15 w 18"/>
                <a:gd name="T29" fmla="*/ 18 h 25"/>
                <a:gd name="T30" fmla="*/ 15 w 18"/>
                <a:gd name="T31" fmla="*/ 21 h 25"/>
                <a:gd name="T32" fmla="*/ 13 w 18"/>
                <a:gd name="T33" fmla="*/ 24 h 25"/>
                <a:gd name="T34" fmla="*/ 11 w 18"/>
                <a:gd name="T35" fmla="*/ 24 h 25"/>
                <a:gd name="T36" fmla="*/ 10 w 18"/>
                <a:gd name="T37" fmla="*/ 25 h 25"/>
                <a:gd name="T38" fmla="*/ 8 w 18"/>
                <a:gd name="T39" fmla="*/ 25 h 25"/>
                <a:gd name="T40" fmla="*/ 6 w 18"/>
                <a:gd name="T41" fmla="*/ 25 h 25"/>
                <a:gd name="T42" fmla="*/ 4 w 18"/>
                <a:gd name="T43" fmla="*/ 24 h 25"/>
                <a:gd name="T44" fmla="*/ 3 w 18"/>
                <a:gd name="T45" fmla="*/ 24 h 25"/>
                <a:gd name="T46" fmla="*/ 2 w 18"/>
                <a:gd name="T47" fmla="*/ 25 h 25"/>
                <a:gd name="T48" fmla="*/ 0 w 18"/>
                <a:gd name="T49" fmla="*/ 25 h 25"/>
                <a:gd name="T50" fmla="*/ 3 w 18"/>
                <a:gd name="T51" fmla="*/ 18 h 25"/>
                <a:gd name="T52" fmla="*/ 3 w 18"/>
                <a:gd name="T53" fmla="*/ 19 h 25"/>
                <a:gd name="T54" fmla="*/ 4 w 18"/>
                <a:gd name="T55" fmla="*/ 21 h 25"/>
                <a:gd name="T56" fmla="*/ 5 w 18"/>
                <a:gd name="T57" fmla="*/ 24 h 25"/>
                <a:gd name="T58" fmla="*/ 7 w 18"/>
                <a:gd name="T59" fmla="*/ 24 h 25"/>
                <a:gd name="T60" fmla="*/ 9 w 18"/>
                <a:gd name="T61" fmla="*/ 24 h 25"/>
                <a:gd name="T62" fmla="*/ 10 w 18"/>
                <a:gd name="T63" fmla="*/ 24 h 25"/>
                <a:gd name="T64" fmla="*/ 11 w 18"/>
                <a:gd name="T65" fmla="*/ 21 h 25"/>
                <a:gd name="T66" fmla="*/ 10 w 18"/>
                <a:gd name="T67" fmla="*/ 18 h 25"/>
                <a:gd name="T68" fmla="*/ 10 w 18"/>
                <a:gd name="T69" fmla="*/ 16 h 25"/>
                <a:gd name="T70" fmla="*/ 9 w 18"/>
                <a:gd name="T71" fmla="*/ 15 h 25"/>
                <a:gd name="T72" fmla="*/ 8 w 18"/>
                <a:gd name="T73" fmla="*/ 13 h 25"/>
                <a:gd name="T74" fmla="*/ 7 w 18"/>
                <a:gd name="T75" fmla="*/ 12 h 25"/>
                <a:gd name="T76" fmla="*/ 5 w 18"/>
                <a:gd name="T77" fmla="*/ 9 h 25"/>
                <a:gd name="T78" fmla="*/ 5 w 18"/>
                <a:gd name="T79" fmla="*/ 6 h 25"/>
                <a:gd name="T80" fmla="*/ 6 w 18"/>
                <a:gd name="T81" fmla="*/ 5 h 25"/>
                <a:gd name="T82" fmla="*/ 7 w 18"/>
                <a:gd name="T83" fmla="*/ 2 h 25"/>
                <a:gd name="T84" fmla="*/ 9 w 18"/>
                <a:gd name="T85" fmla="*/ 0 h 25"/>
                <a:gd name="T86" fmla="*/ 10 w 18"/>
                <a:gd name="T87" fmla="*/ 0 h 25"/>
                <a:gd name="T88" fmla="*/ 12 w 18"/>
                <a:gd name="T89" fmla="*/ 0 h 25"/>
                <a:gd name="T90" fmla="*/ 14 w 18"/>
                <a:gd name="T91" fmla="*/ 0 h 25"/>
                <a:gd name="T92" fmla="*/ 16 w 18"/>
                <a:gd name="T93" fmla="*/ 0 h 25"/>
                <a:gd name="T94" fmla="*/ 17 w 18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8"/>
                <a:gd name="T145" fmla="*/ 0 h 25"/>
                <a:gd name="T146" fmla="*/ 18 w 18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8" h="25">
                  <a:moveTo>
                    <a:pt x="18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0" y="11"/>
                  </a:lnTo>
                  <a:lnTo>
                    <a:pt x="11" y="11"/>
                  </a:lnTo>
                  <a:lnTo>
                    <a:pt x="11" y="12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3" y="19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1" y="19"/>
                  </a:lnTo>
                  <a:lnTo>
                    <a:pt x="10" y="18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8" name="Freeform 31"/>
            <xdr:cNvSpPr>
              <a:spLocks/>
            </xdr:cNvSpPr>
          </xdr:nvSpPr>
          <xdr:spPr bwMode="auto">
            <a:xfrm>
              <a:off x="569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29" name="Freeform 32"/>
            <xdr:cNvSpPr>
              <a:spLocks noEditPoints="1"/>
            </xdr:cNvSpPr>
          </xdr:nvSpPr>
          <xdr:spPr bwMode="auto">
            <a:xfrm>
              <a:off x="576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7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20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1 w 21"/>
                <a:gd name="T31" fmla="*/ 9 h 25"/>
                <a:gd name="T32" fmla="*/ 19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9 w 21"/>
                <a:gd name="T39" fmla="*/ 22 h 25"/>
                <a:gd name="T40" fmla="*/ 20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2 w 21"/>
                <a:gd name="T51" fmla="*/ 12 h 25"/>
                <a:gd name="T52" fmla="*/ 14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4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2"/>
                  </a:lnTo>
                  <a:lnTo>
                    <a:pt x="21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9" y="22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0" name="Freeform 33"/>
            <xdr:cNvSpPr>
              <a:spLocks/>
            </xdr:cNvSpPr>
          </xdr:nvSpPr>
          <xdr:spPr bwMode="auto">
            <a:xfrm>
              <a:off x="597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1" name="Freeform 34"/>
            <xdr:cNvSpPr>
              <a:spLocks/>
            </xdr:cNvSpPr>
          </xdr:nvSpPr>
          <xdr:spPr bwMode="auto">
            <a:xfrm>
              <a:off x="604" y="156"/>
              <a:ext cx="19" cy="25"/>
            </a:xfrm>
            <a:custGeom>
              <a:avLst/>
              <a:gdLst>
                <a:gd name="T0" fmla="*/ 17 w 19"/>
                <a:gd name="T1" fmla="*/ 25 h 25"/>
                <a:gd name="T2" fmla="*/ 0 w 19"/>
                <a:gd name="T3" fmla="*/ 25 h 25"/>
                <a:gd name="T4" fmla="*/ 0 w 19"/>
                <a:gd name="T5" fmla="*/ 24 h 25"/>
                <a:gd name="T6" fmla="*/ 1 w 19"/>
                <a:gd name="T7" fmla="*/ 24 h 25"/>
                <a:gd name="T8" fmla="*/ 2 w 19"/>
                <a:gd name="T9" fmla="*/ 24 h 25"/>
                <a:gd name="T10" fmla="*/ 3 w 19"/>
                <a:gd name="T11" fmla="*/ 24 h 25"/>
                <a:gd name="T12" fmla="*/ 4 w 19"/>
                <a:gd name="T13" fmla="*/ 22 h 25"/>
                <a:gd name="T14" fmla="*/ 4 w 19"/>
                <a:gd name="T15" fmla="*/ 21 h 25"/>
                <a:gd name="T16" fmla="*/ 8 w 19"/>
                <a:gd name="T17" fmla="*/ 6 h 25"/>
                <a:gd name="T18" fmla="*/ 8 w 19"/>
                <a:gd name="T19" fmla="*/ 5 h 25"/>
                <a:gd name="T20" fmla="*/ 8 w 19"/>
                <a:gd name="T21" fmla="*/ 3 h 25"/>
                <a:gd name="T22" fmla="*/ 7 w 19"/>
                <a:gd name="T23" fmla="*/ 2 h 25"/>
                <a:gd name="T24" fmla="*/ 7 w 19"/>
                <a:gd name="T25" fmla="*/ 2 h 25"/>
                <a:gd name="T26" fmla="*/ 6 w 19"/>
                <a:gd name="T27" fmla="*/ 2 h 25"/>
                <a:gd name="T28" fmla="*/ 7 w 19"/>
                <a:gd name="T29" fmla="*/ 0 h 25"/>
                <a:gd name="T30" fmla="*/ 16 w 19"/>
                <a:gd name="T31" fmla="*/ 0 h 25"/>
                <a:gd name="T32" fmla="*/ 15 w 19"/>
                <a:gd name="T33" fmla="*/ 2 h 25"/>
                <a:gd name="T34" fmla="*/ 14 w 19"/>
                <a:gd name="T35" fmla="*/ 2 h 25"/>
                <a:gd name="T36" fmla="*/ 14 w 19"/>
                <a:gd name="T37" fmla="*/ 3 h 25"/>
                <a:gd name="T38" fmla="*/ 14 w 19"/>
                <a:gd name="T39" fmla="*/ 5 h 25"/>
                <a:gd name="T40" fmla="*/ 13 w 19"/>
                <a:gd name="T41" fmla="*/ 5 h 25"/>
                <a:gd name="T42" fmla="*/ 13 w 19"/>
                <a:gd name="T43" fmla="*/ 6 h 25"/>
                <a:gd name="T44" fmla="*/ 9 w 19"/>
                <a:gd name="T45" fmla="*/ 21 h 25"/>
                <a:gd name="T46" fmla="*/ 8 w 19"/>
                <a:gd name="T47" fmla="*/ 22 h 25"/>
                <a:gd name="T48" fmla="*/ 8 w 19"/>
                <a:gd name="T49" fmla="*/ 24 h 25"/>
                <a:gd name="T50" fmla="*/ 9 w 19"/>
                <a:gd name="T51" fmla="*/ 24 h 25"/>
                <a:gd name="T52" fmla="*/ 10 w 19"/>
                <a:gd name="T53" fmla="*/ 24 h 25"/>
                <a:gd name="T54" fmla="*/ 11 w 19"/>
                <a:gd name="T55" fmla="*/ 24 h 25"/>
                <a:gd name="T56" fmla="*/ 12 w 19"/>
                <a:gd name="T57" fmla="*/ 24 h 25"/>
                <a:gd name="T58" fmla="*/ 13 w 19"/>
                <a:gd name="T59" fmla="*/ 24 h 25"/>
                <a:gd name="T60" fmla="*/ 14 w 19"/>
                <a:gd name="T61" fmla="*/ 24 h 25"/>
                <a:gd name="T62" fmla="*/ 14 w 19"/>
                <a:gd name="T63" fmla="*/ 24 h 25"/>
                <a:gd name="T64" fmla="*/ 15 w 19"/>
                <a:gd name="T65" fmla="*/ 22 h 25"/>
                <a:gd name="T66" fmla="*/ 16 w 19"/>
                <a:gd name="T67" fmla="*/ 21 h 25"/>
                <a:gd name="T68" fmla="*/ 17 w 19"/>
                <a:gd name="T69" fmla="*/ 21 h 25"/>
                <a:gd name="T70" fmla="*/ 18 w 19"/>
                <a:gd name="T71" fmla="*/ 19 h 25"/>
                <a:gd name="T72" fmla="*/ 19 w 19"/>
                <a:gd name="T73" fmla="*/ 19 h 25"/>
                <a:gd name="T74" fmla="*/ 17 w 19"/>
                <a:gd name="T75" fmla="*/ 25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19"/>
                <a:gd name="T115" fmla="*/ 0 h 25"/>
                <a:gd name="T116" fmla="*/ 19 w 19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19" h="25">
                  <a:moveTo>
                    <a:pt x="17" y="25"/>
                  </a:move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7" y="0"/>
                  </a:lnTo>
                  <a:lnTo>
                    <a:pt x="16" y="0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4" y="3"/>
                  </a:lnTo>
                  <a:lnTo>
                    <a:pt x="14" y="5"/>
                  </a:lnTo>
                  <a:lnTo>
                    <a:pt x="13" y="5"/>
                  </a:lnTo>
                  <a:lnTo>
                    <a:pt x="13" y="6"/>
                  </a:lnTo>
                  <a:lnTo>
                    <a:pt x="9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2"/>
                  </a:lnTo>
                  <a:lnTo>
                    <a:pt x="16" y="21"/>
                  </a:lnTo>
                  <a:lnTo>
                    <a:pt x="17" y="21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2" name="Freeform 35"/>
            <xdr:cNvSpPr>
              <a:spLocks/>
            </xdr:cNvSpPr>
          </xdr:nvSpPr>
          <xdr:spPr bwMode="auto">
            <a:xfrm>
              <a:off x="623" y="177"/>
              <a:ext cx="3" cy="4"/>
            </a:xfrm>
            <a:custGeom>
              <a:avLst/>
              <a:gdLst>
                <a:gd name="T0" fmla="*/ 2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2 w 3"/>
                <a:gd name="T15" fmla="*/ 4 h 4"/>
                <a:gd name="T16" fmla="*/ 1 w 3"/>
                <a:gd name="T17" fmla="*/ 4 h 4"/>
                <a:gd name="T18" fmla="*/ 1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1 w 3"/>
                <a:gd name="T25" fmla="*/ 1 h 4"/>
                <a:gd name="T26" fmla="*/ 1 w 3"/>
                <a:gd name="T27" fmla="*/ 0 h 4"/>
                <a:gd name="T28" fmla="*/ 2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2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33" name="Freeform 36"/>
            <xdr:cNvSpPr>
              <a:spLocks/>
            </xdr:cNvSpPr>
          </xdr:nvSpPr>
          <xdr:spPr bwMode="auto">
            <a:xfrm>
              <a:off x="116" y="281"/>
              <a:ext cx="431" cy="4"/>
            </a:xfrm>
            <a:custGeom>
              <a:avLst/>
              <a:gdLst>
                <a:gd name="T0" fmla="*/ 431 w 431"/>
                <a:gd name="T1" fmla="*/ 1 h 4"/>
                <a:gd name="T2" fmla="*/ 431 w 431"/>
                <a:gd name="T3" fmla="*/ 0 h 4"/>
                <a:gd name="T4" fmla="*/ 0 w 431"/>
                <a:gd name="T5" fmla="*/ 0 h 4"/>
                <a:gd name="T6" fmla="*/ 0 w 431"/>
                <a:gd name="T7" fmla="*/ 4 h 4"/>
                <a:gd name="T8" fmla="*/ 431 w 431"/>
                <a:gd name="T9" fmla="*/ 4 h 4"/>
                <a:gd name="T10" fmla="*/ 431 w 43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31"/>
                <a:gd name="T19" fmla="*/ 0 h 4"/>
                <a:gd name="T20" fmla="*/ 431 w 43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31" h="4">
                  <a:moveTo>
                    <a:pt x="431" y="1"/>
                  </a:moveTo>
                  <a:lnTo>
                    <a:pt x="43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31" y="4"/>
                  </a:lnTo>
                  <a:lnTo>
                    <a:pt x="43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4" name="Freeform 37"/>
            <xdr:cNvSpPr>
              <a:spLocks/>
            </xdr:cNvSpPr>
          </xdr:nvSpPr>
          <xdr:spPr bwMode="auto">
            <a:xfrm>
              <a:off x="618" y="238"/>
              <a:ext cx="11" cy="4"/>
            </a:xfrm>
            <a:custGeom>
              <a:avLst/>
              <a:gdLst>
                <a:gd name="T0" fmla="*/ 11 w 11"/>
                <a:gd name="T1" fmla="*/ 1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1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5" name="Freeform 38"/>
            <xdr:cNvSpPr>
              <a:spLocks/>
            </xdr:cNvSpPr>
          </xdr:nvSpPr>
          <xdr:spPr bwMode="auto">
            <a:xfrm>
              <a:off x="607" y="222"/>
              <a:ext cx="12" cy="18"/>
            </a:xfrm>
            <a:custGeom>
              <a:avLst/>
              <a:gdLst>
                <a:gd name="T0" fmla="*/ 1 w 12"/>
                <a:gd name="T1" fmla="*/ 1 h 18"/>
                <a:gd name="T2" fmla="*/ 0 w 12"/>
                <a:gd name="T3" fmla="*/ 3 h 18"/>
                <a:gd name="T4" fmla="*/ 10 w 12"/>
                <a:gd name="T5" fmla="*/ 18 h 18"/>
                <a:gd name="T6" fmla="*/ 12 w 12"/>
                <a:gd name="T7" fmla="*/ 16 h 18"/>
                <a:gd name="T8" fmla="*/ 2 w 12"/>
                <a:gd name="T9" fmla="*/ 0 h 18"/>
                <a:gd name="T10" fmla="*/ 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" y="1"/>
                  </a:moveTo>
                  <a:lnTo>
                    <a:pt x="0" y="3"/>
                  </a:lnTo>
                  <a:lnTo>
                    <a:pt x="10" y="18"/>
                  </a:lnTo>
                  <a:lnTo>
                    <a:pt x="12" y="16"/>
                  </a:lnTo>
                  <a:lnTo>
                    <a:pt x="2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6" name="Freeform 39"/>
            <xdr:cNvSpPr>
              <a:spLocks/>
            </xdr:cNvSpPr>
          </xdr:nvSpPr>
          <xdr:spPr bwMode="auto">
            <a:xfrm>
              <a:off x="554" y="206"/>
              <a:ext cx="75" cy="4"/>
            </a:xfrm>
            <a:custGeom>
              <a:avLst/>
              <a:gdLst>
                <a:gd name="T0" fmla="*/ 0 w 75"/>
                <a:gd name="T1" fmla="*/ 1 h 4"/>
                <a:gd name="T2" fmla="*/ 0 w 75"/>
                <a:gd name="T3" fmla="*/ 4 h 4"/>
                <a:gd name="T4" fmla="*/ 75 w 75"/>
                <a:gd name="T5" fmla="*/ 4 h 4"/>
                <a:gd name="T6" fmla="*/ 75 w 75"/>
                <a:gd name="T7" fmla="*/ 0 h 4"/>
                <a:gd name="T8" fmla="*/ 0 w 75"/>
                <a:gd name="T9" fmla="*/ 0 h 4"/>
                <a:gd name="T10" fmla="*/ 0 w 75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4"/>
                <a:gd name="T20" fmla="*/ 75 w 7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4">
                  <a:moveTo>
                    <a:pt x="0" y="1"/>
                  </a:moveTo>
                  <a:lnTo>
                    <a:pt x="0" y="4"/>
                  </a:lnTo>
                  <a:lnTo>
                    <a:pt x="75" y="4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7" name="Freeform 40"/>
            <xdr:cNvSpPr>
              <a:spLocks/>
            </xdr:cNvSpPr>
          </xdr:nvSpPr>
          <xdr:spPr bwMode="auto">
            <a:xfrm>
              <a:off x="628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8" name="Freeform 41"/>
            <xdr:cNvSpPr>
              <a:spLocks/>
            </xdr:cNvSpPr>
          </xdr:nvSpPr>
          <xdr:spPr bwMode="auto">
            <a:xfrm>
              <a:off x="597" y="222"/>
              <a:ext cx="12" cy="18"/>
            </a:xfrm>
            <a:custGeom>
              <a:avLst/>
              <a:gdLst>
                <a:gd name="T0" fmla="*/ 11 w 12"/>
                <a:gd name="T1" fmla="*/ 1 h 18"/>
                <a:gd name="T2" fmla="*/ 10 w 12"/>
                <a:gd name="T3" fmla="*/ 0 h 18"/>
                <a:gd name="T4" fmla="*/ 0 w 12"/>
                <a:gd name="T5" fmla="*/ 16 h 18"/>
                <a:gd name="T6" fmla="*/ 1 w 12"/>
                <a:gd name="T7" fmla="*/ 18 h 18"/>
                <a:gd name="T8" fmla="*/ 12 w 12"/>
                <a:gd name="T9" fmla="*/ 3 h 18"/>
                <a:gd name="T10" fmla="*/ 1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1" y="1"/>
                  </a:move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lnTo>
                    <a:pt x="12" y="3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39" name="Freeform 42"/>
            <xdr:cNvSpPr>
              <a:spLocks/>
            </xdr:cNvSpPr>
          </xdr:nvSpPr>
          <xdr:spPr bwMode="auto">
            <a:xfrm>
              <a:off x="553" y="238"/>
              <a:ext cx="44" cy="4"/>
            </a:xfrm>
            <a:custGeom>
              <a:avLst/>
              <a:gdLst>
                <a:gd name="T0" fmla="*/ 44 w 44"/>
                <a:gd name="T1" fmla="*/ 1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1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0" name="Freeform 43"/>
            <xdr:cNvSpPr>
              <a:spLocks/>
            </xdr:cNvSpPr>
          </xdr:nvSpPr>
          <xdr:spPr bwMode="auto">
            <a:xfrm>
              <a:off x="552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1" name="Freeform 44"/>
            <xdr:cNvSpPr>
              <a:spLocks/>
            </xdr:cNvSpPr>
          </xdr:nvSpPr>
          <xdr:spPr bwMode="auto">
            <a:xfrm>
              <a:off x="618" y="248"/>
              <a:ext cx="11" cy="4"/>
            </a:xfrm>
            <a:custGeom>
              <a:avLst/>
              <a:gdLst>
                <a:gd name="T0" fmla="*/ 11 w 11"/>
                <a:gd name="T1" fmla="*/ 3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3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2" name="Freeform 45"/>
            <xdr:cNvSpPr>
              <a:spLocks/>
            </xdr:cNvSpPr>
          </xdr:nvSpPr>
          <xdr:spPr bwMode="auto">
            <a:xfrm>
              <a:off x="607" y="249"/>
              <a:ext cx="12" cy="20"/>
            </a:xfrm>
            <a:custGeom>
              <a:avLst/>
              <a:gdLst>
                <a:gd name="T0" fmla="*/ 1 w 12"/>
                <a:gd name="T1" fmla="*/ 18 h 20"/>
                <a:gd name="T2" fmla="*/ 2 w 12"/>
                <a:gd name="T3" fmla="*/ 20 h 20"/>
                <a:gd name="T4" fmla="*/ 12 w 12"/>
                <a:gd name="T5" fmla="*/ 3 h 20"/>
                <a:gd name="T6" fmla="*/ 10 w 12"/>
                <a:gd name="T7" fmla="*/ 0 h 20"/>
                <a:gd name="T8" fmla="*/ 0 w 12"/>
                <a:gd name="T9" fmla="*/ 16 h 20"/>
                <a:gd name="T10" fmla="*/ 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" y="18"/>
                  </a:moveTo>
                  <a:lnTo>
                    <a:pt x="2" y="20"/>
                  </a:lnTo>
                  <a:lnTo>
                    <a:pt x="12" y="3"/>
                  </a:ln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3" name="Freeform 46"/>
            <xdr:cNvSpPr>
              <a:spLocks/>
            </xdr:cNvSpPr>
          </xdr:nvSpPr>
          <xdr:spPr bwMode="auto">
            <a:xfrm>
              <a:off x="554" y="280"/>
              <a:ext cx="75" cy="5"/>
            </a:xfrm>
            <a:custGeom>
              <a:avLst/>
              <a:gdLst>
                <a:gd name="T0" fmla="*/ 0 w 75"/>
                <a:gd name="T1" fmla="*/ 2 h 5"/>
                <a:gd name="T2" fmla="*/ 0 w 75"/>
                <a:gd name="T3" fmla="*/ 5 h 5"/>
                <a:gd name="T4" fmla="*/ 75 w 75"/>
                <a:gd name="T5" fmla="*/ 5 h 5"/>
                <a:gd name="T6" fmla="*/ 75 w 75"/>
                <a:gd name="T7" fmla="*/ 0 h 5"/>
                <a:gd name="T8" fmla="*/ 0 w 75"/>
                <a:gd name="T9" fmla="*/ 0 h 5"/>
                <a:gd name="T10" fmla="*/ 0 w 75"/>
                <a:gd name="T11" fmla="*/ 2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5"/>
                <a:gd name="T20" fmla="*/ 75 w 7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5">
                  <a:moveTo>
                    <a:pt x="0" y="2"/>
                  </a:moveTo>
                  <a:lnTo>
                    <a:pt x="0" y="5"/>
                  </a:lnTo>
                  <a:lnTo>
                    <a:pt x="75" y="5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4" name="Freeform 47"/>
            <xdr:cNvSpPr>
              <a:spLocks/>
            </xdr:cNvSpPr>
          </xdr:nvSpPr>
          <xdr:spPr bwMode="auto">
            <a:xfrm>
              <a:off x="628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5" name="Freeform 48"/>
            <xdr:cNvSpPr>
              <a:spLocks/>
            </xdr:cNvSpPr>
          </xdr:nvSpPr>
          <xdr:spPr bwMode="auto">
            <a:xfrm>
              <a:off x="597" y="249"/>
              <a:ext cx="12" cy="20"/>
            </a:xfrm>
            <a:custGeom>
              <a:avLst/>
              <a:gdLst>
                <a:gd name="T0" fmla="*/ 11 w 12"/>
                <a:gd name="T1" fmla="*/ 18 h 20"/>
                <a:gd name="T2" fmla="*/ 12 w 12"/>
                <a:gd name="T3" fmla="*/ 16 h 20"/>
                <a:gd name="T4" fmla="*/ 1 w 12"/>
                <a:gd name="T5" fmla="*/ 0 h 20"/>
                <a:gd name="T6" fmla="*/ 0 w 12"/>
                <a:gd name="T7" fmla="*/ 3 h 20"/>
                <a:gd name="T8" fmla="*/ 10 w 12"/>
                <a:gd name="T9" fmla="*/ 20 h 20"/>
                <a:gd name="T10" fmla="*/ 1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1" y="18"/>
                  </a:moveTo>
                  <a:lnTo>
                    <a:pt x="12" y="16"/>
                  </a:lnTo>
                  <a:lnTo>
                    <a:pt x="1" y="0"/>
                  </a:lnTo>
                  <a:lnTo>
                    <a:pt x="0" y="3"/>
                  </a:lnTo>
                  <a:lnTo>
                    <a:pt x="10" y="20"/>
                  </a:lnTo>
                  <a:lnTo>
                    <a:pt x="1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6" name="Freeform 49"/>
            <xdr:cNvSpPr>
              <a:spLocks/>
            </xdr:cNvSpPr>
          </xdr:nvSpPr>
          <xdr:spPr bwMode="auto">
            <a:xfrm>
              <a:off x="553" y="248"/>
              <a:ext cx="44" cy="4"/>
            </a:xfrm>
            <a:custGeom>
              <a:avLst/>
              <a:gdLst>
                <a:gd name="T0" fmla="*/ 44 w 44"/>
                <a:gd name="T1" fmla="*/ 3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3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7" name="Freeform 50"/>
            <xdr:cNvSpPr>
              <a:spLocks/>
            </xdr:cNvSpPr>
          </xdr:nvSpPr>
          <xdr:spPr bwMode="auto">
            <a:xfrm>
              <a:off x="552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8" name="Oval 51"/>
            <xdr:cNvSpPr>
              <a:spLocks noChangeArrowheads="1"/>
            </xdr:cNvSpPr>
          </xdr:nvSpPr>
          <xdr:spPr bwMode="auto">
            <a:xfrm>
              <a:off x="603" y="233"/>
              <a:ext cx="9" cy="18"/>
            </a:xfrm>
            <a:prstGeom prst="ellipse">
              <a:avLst/>
            </a:prstGeom>
            <a:solidFill>
              <a:srgbClr val="A9A8A7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49" name="Freeform 52"/>
            <xdr:cNvSpPr>
              <a:spLocks/>
            </xdr:cNvSpPr>
          </xdr:nvSpPr>
          <xdr:spPr bwMode="auto">
            <a:xfrm>
              <a:off x="602" y="233"/>
              <a:ext cx="6" cy="9"/>
            </a:xfrm>
            <a:custGeom>
              <a:avLst/>
              <a:gdLst>
                <a:gd name="T0" fmla="*/ 2 w 6"/>
                <a:gd name="T1" fmla="*/ 9 h 9"/>
                <a:gd name="T2" fmla="*/ 2 w 6"/>
                <a:gd name="T3" fmla="*/ 9 h 9"/>
                <a:gd name="T4" fmla="*/ 2 w 6"/>
                <a:gd name="T5" fmla="*/ 7 h 9"/>
                <a:gd name="T6" fmla="*/ 2 w 6"/>
                <a:gd name="T7" fmla="*/ 6 h 9"/>
                <a:gd name="T8" fmla="*/ 2 w 6"/>
                <a:gd name="T9" fmla="*/ 5 h 9"/>
                <a:gd name="T10" fmla="*/ 2 w 6"/>
                <a:gd name="T11" fmla="*/ 3 h 9"/>
                <a:gd name="T12" fmla="*/ 3 w 6"/>
                <a:gd name="T13" fmla="*/ 3 h 9"/>
                <a:gd name="T14" fmla="*/ 4 w 6"/>
                <a:gd name="T15" fmla="*/ 2 h 9"/>
                <a:gd name="T16" fmla="*/ 5 w 6"/>
                <a:gd name="T17" fmla="*/ 2 h 9"/>
                <a:gd name="T18" fmla="*/ 6 w 6"/>
                <a:gd name="T19" fmla="*/ 2 h 9"/>
                <a:gd name="T20" fmla="*/ 6 w 6"/>
                <a:gd name="T21" fmla="*/ 0 h 9"/>
                <a:gd name="T22" fmla="*/ 4 w 6"/>
                <a:gd name="T23" fmla="*/ 0 h 9"/>
                <a:gd name="T24" fmla="*/ 3 w 6"/>
                <a:gd name="T25" fmla="*/ 0 h 9"/>
                <a:gd name="T26" fmla="*/ 2 w 6"/>
                <a:gd name="T27" fmla="*/ 2 h 9"/>
                <a:gd name="T28" fmla="*/ 2 w 6"/>
                <a:gd name="T29" fmla="*/ 2 h 9"/>
                <a:gd name="T30" fmla="*/ 2 w 6"/>
                <a:gd name="T31" fmla="*/ 3 h 9"/>
                <a:gd name="T32" fmla="*/ 1 w 6"/>
                <a:gd name="T33" fmla="*/ 5 h 9"/>
                <a:gd name="T34" fmla="*/ 1 w 6"/>
                <a:gd name="T35" fmla="*/ 7 h 9"/>
                <a:gd name="T36" fmla="*/ 0 w 6"/>
                <a:gd name="T37" fmla="*/ 9 h 9"/>
                <a:gd name="T38" fmla="*/ 0 w 6"/>
                <a:gd name="T39" fmla="*/ 9 h 9"/>
                <a:gd name="T40" fmla="*/ 2 w 6"/>
                <a:gd name="T41" fmla="*/ 9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2" y="9"/>
                  </a:moveTo>
                  <a:lnTo>
                    <a:pt x="2" y="9"/>
                  </a:lnTo>
                  <a:lnTo>
                    <a:pt x="2" y="7"/>
                  </a:lnTo>
                  <a:lnTo>
                    <a:pt x="2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2" y="9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0" name="Freeform 53"/>
            <xdr:cNvSpPr>
              <a:spLocks/>
            </xdr:cNvSpPr>
          </xdr:nvSpPr>
          <xdr:spPr bwMode="auto">
            <a:xfrm>
              <a:off x="602" y="242"/>
              <a:ext cx="6" cy="9"/>
            </a:xfrm>
            <a:custGeom>
              <a:avLst/>
              <a:gdLst>
                <a:gd name="T0" fmla="*/ 6 w 6"/>
                <a:gd name="T1" fmla="*/ 7 h 9"/>
                <a:gd name="T2" fmla="*/ 6 w 6"/>
                <a:gd name="T3" fmla="*/ 7 h 9"/>
                <a:gd name="T4" fmla="*/ 5 w 6"/>
                <a:gd name="T5" fmla="*/ 7 h 9"/>
                <a:gd name="T6" fmla="*/ 4 w 6"/>
                <a:gd name="T7" fmla="*/ 7 h 9"/>
                <a:gd name="T8" fmla="*/ 3 w 6"/>
                <a:gd name="T9" fmla="*/ 6 h 9"/>
                <a:gd name="T10" fmla="*/ 2 w 6"/>
                <a:gd name="T11" fmla="*/ 4 h 9"/>
                <a:gd name="T12" fmla="*/ 2 w 6"/>
                <a:gd name="T13" fmla="*/ 4 h 9"/>
                <a:gd name="T14" fmla="*/ 2 w 6"/>
                <a:gd name="T15" fmla="*/ 3 h 9"/>
                <a:gd name="T16" fmla="*/ 2 w 6"/>
                <a:gd name="T17" fmla="*/ 1 h 9"/>
                <a:gd name="T18" fmla="*/ 2 w 6"/>
                <a:gd name="T19" fmla="*/ 0 h 9"/>
                <a:gd name="T20" fmla="*/ 0 w 6"/>
                <a:gd name="T21" fmla="*/ 0 h 9"/>
                <a:gd name="T22" fmla="*/ 1 w 6"/>
                <a:gd name="T23" fmla="*/ 1 h 9"/>
                <a:gd name="T24" fmla="*/ 1 w 6"/>
                <a:gd name="T25" fmla="*/ 3 h 9"/>
                <a:gd name="T26" fmla="*/ 2 w 6"/>
                <a:gd name="T27" fmla="*/ 6 h 9"/>
                <a:gd name="T28" fmla="*/ 2 w 6"/>
                <a:gd name="T29" fmla="*/ 6 h 9"/>
                <a:gd name="T30" fmla="*/ 2 w 6"/>
                <a:gd name="T31" fmla="*/ 7 h 9"/>
                <a:gd name="T32" fmla="*/ 3 w 6"/>
                <a:gd name="T33" fmla="*/ 9 h 9"/>
                <a:gd name="T34" fmla="*/ 4 w 6"/>
                <a:gd name="T35" fmla="*/ 9 h 9"/>
                <a:gd name="T36" fmla="*/ 6 w 6"/>
                <a:gd name="T37" fmla="*/ 9 h 9"/>
                <a:gd name="T38" fmla="*/ 6 w 6"/>
                <a:gd name="T39" fmla="*/ 9 h 9"/>
                <a:gd name="T40" fmla="*/ 6 w 6"/>
                <a:gd name="T41" fmla="*/ 7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6" y="7"/>
                  </a:moveTo>
                  <a:lnTo>
                    <a:pt x="6" y="7"/>
                  </a:lnTo>
                  <a:lnTo>
                    <a:pt x="5" y="7"/>
                  </a:lnTo>
                  <a:lnTo>
                    <a:pt x="4" y="7"/>
                  </a:lnTo>
                  <a:lnTo>
                    <a:pt x="3" y="6"/>
                  </a:lnTo>
                  <a:lnTo>
                    <a:pt x="2" y="4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1" y="1"/>
                  </a:lnTo>
                  <a:lnTo>
                    <a:pt x="1" y="3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6" y="9"/>
                  </a:lnTo>
                  <a:lnTo>
                    <a:pt x="6" y="7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1" name="Freeform 54"/>
            <xdr:cNvSpPr>
              <a:spLocks/>
            </xdr:cNvSpPr>
          </xdr:nvSpPr>
          <xdr:spPr bwMode="auto">
            <a:xfrm>
              <a:off x="608" y="242"/>
              <a:ext cx="5" cy="9"/>
            </a:xfrm>
            <a:custGeom>
              <a:avLst/>
              <a:gdLst>
                <a:gd name="T0" fmla="*/ 4 w 5"/>
                <a:gd name="T1" fmla="*/ 0 h 9"/>
                <a:gd name="T2" fmla="*/ 4 w 5"/>
                <a:gd name="T3" fmla="*/ 0 h 9"/>
                <a:gd name="T4" fmla="*/ 3 w 5"/>
                <a:gd name="T5" fmla="*/ 1 h 9"/>
                <a:gd name="T6" fmla="*/ 3 w 5"/>
                <a:gd name="T7" fmla="*/ 3 h 9"/>
                <a:gd name="T8" fmla="*/ 3 w 5"/>
                <a:gd name="T9" fmla="*/ 4 h 9"/>
                <a:gd name="T10" fmla="*/ 3 w 5"/>
                <a:gd name="T11" fmla="*/ 4 h 9"/>
                <a:gd name="T12" fmla="*/ 2 w 5"/>
                <a:gd name="T13" fmla="*/ 6 h 9"/>
                <a:gd name="T14" fmla="*/ 2 w 5"/>
                <a:gd name="T15" fmla="*/ 7 h 9"/>
                <a:gd name="T16" fmla="*/ 1 w 5"/>
                <a:gd name="T17" fmla="*/ 7 h 9"/>
                <a:gd name="T18" fmla="*/ 0 w 5"/>
                <a:gd name="T19" fmla="*/ 7 h 9"/>
                <a:gd name="T20" fmla="*/ 0 w 5"/>
                <a:gd name="T21" fmla="*/ 9 h 9"/>
                <a:gd name="T22" fmla="*/ 1 w 5"/>
                <a:gd name="T23" fmla="*/ 9 h 9"/>
                <a:gd name="T24" fmla="*/ 2 w 5"/>
                <a:gd name="T25" fmla="*/ 9 h 9"/>
                <a:gd name="T26" fmla="*/ 3 w 5"/>
                <a:gd name="T27" fmla="*/ 7 h 9"/>
                <a:gd name="T28" fmla="*/ 3 w 5"/>
                <a:gd name="T29" fmla="*/ 6 h 9"/>
                <a:gd name="T30" fmla="*/ 4 w 5"/>
                <a:gd name="T31" fmla="*/ 6 h 9"/>
                <a:gd name="T32" fmla="*/ 4 w 5"/>
                <a:gd name="T33" fmla="*/ 3 h 9"/>
                <a:gd name="T34" fmla="*/ 5 w 5"/>
                <a:gd name="T35" fmla="*/ 1 h 9"/>
                <a:gd name="T36" fmla="*/ 5 w 5"/>
                <a:gd name="T37" fmla="*/ 0 h 9"/>
                <a:gd name="T38" fmla="*/ 5 w 5"/>
                <a:gd name="T39" fmla="*/ 0 h 9"/>
                <a:gd name="T40" fmla="*/ 4 w 5"/>
                <a:gd name="T41" fmla="*/ 0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3" y="4"/>
                  </a:lnTo>
                  <a:lnTo>
                    <a:pt x="2" y="6"/>
                  </a:lnTo>
                  <a:lnTo>
                    <a:pt x="2" y="7"/>
                  </a:lnTo>
                  <a:lnTo>
                    <a:pt x="1" y="7"/>
                  </a:lnTo>
                  <a:lnTo>
                    <a:pt x="0" y="7"/>
                  </a:lnTo>
                  <a:lnTo>
                    <a:pt x="0" y="9"/>
                  </a:lnTo>
                  <a:lnTo>
                    <a:pt x="1" y="9"/>
                  </a:lnTo>
                  <a:lnTo>
                    <a:pt x="2" y="9"/>
                  </a:lnTo>
                  <a:lnTo>
                    <a:pt x="3" y="7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3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52" name="Freeform 55"/>
            <xdr:cNvSpPr>
              <a:spLocks/>
            </xdr:cNvSpPr>
          </xdr:nvSpPr>
          <xdr:spPr bwMode="auto">
            <a:xfrm>
              <a:off x="608" y="233"/>
              <a:ext cx="5" cy="9"/>
            </a:xfrm>
            <a:custGeom>
              <a:avLst/>
              <a:gdLst>
                <a:gd name="T0" fmla="*/ 0 w 5"/>
                <a:gd name="T1" fmla="*/ 2 h 9"/>
                <a:gd name="T2" fmla="*/ 0 w 5"/>
                <a:gd name="T3" fmla="*/ 2 h 9"/>
                <a:gd name="T4" fmla="*/ 1 w 5"/>
                <a:gd name="T5" fmla="*/ 2 h 9"/>
                <a:gd name="T6" fmla="*/ 2 w 5"/>
                <a:gd name="T7" fmla="*/ 2 h 9"/>
                <a:gd name="T8" fmla="*/ 2 w 5"/>
                <a:gd name="T9" fmla="*/ 3 h 9"/>
                <a:gd name="T10" fmla="*/ 3 w 5"/>
                <a:gd name="T11" fmla="*/ 3 h 9"/>
                <a:gd name="T12" fmla="*/ 3 w 5"/>
                <a:gd name="T13" fmla="*/ 5 h 9"/>
                <a:gd name="T14" fmla="*/ 3 w 5"/>
                <a:gd name="T15" fmla="*/ 6 h 9"/>
                <a:gd name="T16" fmla="*/ 3 w 5"/>
                <a:gd name="T17" fmla="*/ 7 h 9"/>
                <a:gd name="T18" fmla="*/ 4 w 5"/>
                <a:gd name="T19" fmla="*/ 9 h 9"/>
                <a:gd name="T20" fmla="*/ 5 w 5"/>
                <a:gd name="T21" fmla="*/ 9 h 9"/>
                <a:gd name="T22" fmla="*/ 5 w 5"/>
                <a:gd name="T23" fmla="*/ 7 h 9"/>
                <a:gd name="T24" fmla="*/ 4 w 5"/>
                <a:gd name="T25" fmla="*/ 5 h 9"/>
                <a:gd name="T26" fmla="*/ 4 w 5"/>
                <a:gd name="T27" fmla="*/ 3 h 9"/>
                <a:gd name="T28" fmla="*/ 3 w 5"/>
                <a:gd name="T29" fmla="*/ 2 h 9"/>
                <a:gd name="T30" fmla="*/ 3 w 5"/>
                <a:gd name="T31" fmla="*/ 2 h 9"/>
                <a:gd name="T32" fmla="*/ 2 w 5"/>
                <a:gd name="T33" fmla="*/ 0 h 9"/>
                <a:gd name="T34" fmla="*/ 1 w 5"/>
                <a:gd name="T35" fmla="*/ 0 h 9"/>
                <a:gd name="T36" fmla="*/ 0 w 5"/>
                <a:gd name="T37" fmla="*/ 0 h 9"/>
                <a:gd name="T38" fmla="*/ 0 w 5"/>
                <a:gd name="T39" fmla="*/ 0 h 9"/>
                <a:gd name="T40" fmla="*/ 0 w 5"/>
                <a:gd name="T41" fmla="*/ 2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0" y="2"/>
                  </a:moveTo>
                  <a:lnTo>
                    <a:pt x="0" y="2"/>
                  </a:lnTo>
                  <a:lnTo>
                    <a:pt x="1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3" y="3"/>
                  </a:lnTo>
                  <a:lnTo>
                    <a:pt x="3" y="5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  <xdr:twoCellAnchor>
    <xdr:from>
      <xdr:col>7</xdr:col>
      <xdr:colOff>76200</xdr:colOff>
      <xdr:row>0</xdr:row>
      <xdr:rowOff>95250</xdr:rowOff>
    </xdr:from>
    <xdr:to>
      <xdr:col>7</xdr:col>
      <xdr:colOff>920751</xdr:colOff>
      <xdr:row>5</xdr:row>
      <xdr:rowOff>0</xdr:rowOff>
    </xdr:to>
    <xdr:sp macro="" textlink="">
      <xdr:nvSpPr>
        <xdr:cNvPr id="53" name="52 CuadroTexto"/>
        <xdr:cNvSpPr txBox="1"/>
      </xdr:nvSpPr>
      <xdr:spPr>
        <a:xfrm>
          <a:off x="6410325" y="95250"/>
          <a:ext cx="844551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200"/>
            <a:t>ORIGINAL</a:t>
          </a:r>
        </a:p>
        <a:p>
          <a:pPr algn="ctr"/>
          <a:endParaRPr lang="es-AR" sz="1200"/>
        </a:p>
        <a:p>
          <a:pPr algn="ctr"/>
          <a:endParaRPr lang="es-AR" sz="1200"/>
        </a:p>
        <a:p>
          <a:pPr algn="ctr"/>
          <a:r>
            <a:rPr lang="es-AR" sz="1200"/>
            <a:t>FOLIO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12</xdr:row>
      <xdr:rowOff>0</xdr:rowOff>
    </xdr:from>
    <xdr:to>
      <xdr:col>25</xdr:col>
      <xdr:colOff>142874</xdr:colOff>
      <xdr:row>42</xdr:row>
      <xdr:rowOff>38099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1114425</xdr:colOff>
      <xdr:row>62</xdr:row>
      <xdr:rowOff>0</xdr:rowOff>
    </xdr:from>
    <xdr:to>
      <xdr:col>11</xdr:col>
      <xdr:colOff>0</xdr:colOff>
      <xdr:row>62</xdr:row>
      <xdr:rowOff>0</xdr:rowOff>
    </xdr:to>
    <xdr:graphicFrame macro="">
      <xdr:nvGraphicFramePr>
        <xdr:cNvPr id="3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209550</xdr:colOff>
      <xdr:row>0</xdr:row>
      <xdr:rowOff>142875</xdr:rowOff>
    </xdr:from>
    <xdr:to>
      <xdr:col>13</xdr:col>
      <xdr:colOff>541128</xdr:colOff>
      <xdr:row>8</xdr:row>
      <xdr:rowOff>38100</xdr:rowOff>
    </xdr:to>
    <xdr:grpSp>
      <xdr:nvGrpSpPr>
        <xdr:cNvPr id="56" name="Group 5"/>
        <xdr:cNvGrpSpPr>
          <a:grpSpLocks/>
        </xdr:cNvGrpSpPr>
      </xdr:nvGrpSpPr>
      <xdr:grpSpPr bwMode="auto">
        <a:xfrm>
          <a:off x="7762875" y="142875"/>
          <a:ext cx="4570203" cy="809625"/>
          <a:chOff x="112" y="156"/>
          <a:chExt cx="519" cy="129"/>
        </a:xfrm>
      </xdr:grpSpPr>
      <xdr:sp macro="" textlink="">
        <xdr:nvSpPr>
          <xdr:cNvPr id="57" name="Text Box 6"/>
          <xdr:cNvSpPr txBox="1">
            <a:spLocks noChangeArrowheads="1"/>
          </xdr:cNvSpPr>
        </xdr:nvSpPr>
        <xdr:spPr bwMode="auto">
          <a:xfrm>
            <a:off x="112" y="196"/>
            <a:ext cx="458" cy="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Av. Alvear N° 1448 - Esquel - Chubut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Tel/Fax (02945)451003 E-Mail: administracionpasquini@speedy.com.ar</a:t>
            </a:r>
          </a:p>
          <a:p>
            <a:pPr algn="l" rtl="1">
              <a:defRPr sz="1000"/>
            </a:pPr>
            <a:r>
              <a:rPr lang="es-AR" sz="1000" b="1" i="0" strike="noStrike">
                <a:solidFill>
                  <a:srgbClr val="000000"/>
                </a:solidFill>
                <a:latin typeface="+mn-lt"/>
              </a:rPr>
              <a:t>C.U.I.T 30-67034174-3 L.C. N° 03117 I.B. 01091  I.E.R.I.C. N° 73589 4</a:t>
            </a:r>
          </a:p>
          <a:p>
            <a:pPr algn="l" rtl="1">
              <a:defRPr sz="1000"/>
            </a:pPr>
            <a:endParaRPr lang="es-AR" sz="1000" b="1" i="0" strike="noStrike">
              <a:solidFill>
                <a:srgbClr val="000000"/>
              </a:solidFill>
              <a:latin typeface="Swis721 Ex BT"/>
            </a:endParaRPr>
          </a:p>
        </xdr:txBody>
      </xdr:sp>
      <xdr:grpSp>
        <xdr:nvGrpSpPr>
          <xdr:cNvPr id="58" name="Group 7"/>
          <xdr:cNvGrpSpPr>
            <a:grpSpLocks/>
          </xdr:cNvGrpSpPr>
        </xdr:nvGrpSpPr>
        <xdr:grpSpPr bwMode="auto">
          <a:xfrm>
            <a:off x="116" y="156"/>
            <a:ext cx="515" cy="129"/>
            <a:chOff x="116" y="156"/>
            <a:chExt cx="515" cy="129"/>
          </a:xfrm>
        </xdr:grpSpPr>
        <xdr:sp macro="" textlink="">
          <xdr:nvSpPr>
            <xdr:cNvPr id="59" name="Freeform 8"/>
            <xdr:cNvSpPr>
              <a:spLocks noEditPoints="1"/>
            </xdr:cNvSpPr>
          </xdr:nvSpPr>
          <xdr:spPr bwMode="auto">
            <a:xfrm>
              <a:off x="11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9 w 21"/>
                <a:gd name="T5" fmla="*/ 24 h 25"/>
                <a:gd name="T6" fmla="*/ 10 w 21"/>
                <a:gd name="T7" fmla="*/ 25 h 25"/>
                <a:gd name="T8" fmla="*/ 0 w 21"/>
                <a:gd name="T9" fmla="*/ 24 h 25"/>
                <a:gd name="T10" fmla="*/ 1 w 21"/>
                <a:gd name="T11" fmla="*/ 24 h 25"/>
                <a:gd name="T12" fmla="*/ 3 w 21"/>
                <a:gd name="T13" fmla="*/ 24 h 25"/>
                <a:gd name="T14" fmla="*/ 3 w 21"/>
                <a:gd name="T15" fmla="*/ 21 h 25"/>
                <a:gd name="T16" fmla="*/ 8 w 21"/>
                <a:gd name="T17" fmla="*/ 3 h 25"/>
                <a:gd name="T18" fmla="*/ 7 w 21"/>
                <a:gd name="T19" fmla="*/ 2 h 25"/>
                <a:gd name="T20" fmla="*/ 6 w 21"/>
                <a:gd name="T21" fmla="*/ 0 h 25"/>
                <a:gd name="T22" fmla="*/ 15 w 21"/>
                <a:gd name="T23" fmla="*/ 0 h 25"/>
                <a:gd name="T24" fmla="*/ 16 w 21"/>
                <a:gd name="T25" fmla="*/ 0 h 25"/>
                <a:gd name="T26" fmla="*/ 18 w 21"/>
                <a:gd name="T27" fmla="*/ 2 h 25"/>
                <a:gd name="T28" fmla="*/ 19 w 21"/>
                <a:gd name="T29" fmla="*/ 3 h 25"/>
                <a:gd name="T30" fmla="*/ 20 w 21"/>
                <a:gd name="T31" fmla="*/ 5 h 25"/>
                <a:gd name="T32" fmla="*/ 21 w 21"/>
                <a:gd name="T33" fmla="*/ 6 h 25"/>
                <a:gd name="T34" fmla="*/ 21 w 21"/>
                <a:gd name="T35" fmla="*/ 9 h 25"/>
                <a:gd name="T36" fmla="*/ 20 w 21"/>
                <a:gd name="T37" fmla="*/ 11 h 25"/>
                <a:gd name="T38" fmla="*/ 19 w 21"/>
                <a:gd name="T39" fmla="*/ 12 h 25"/>
                <a:gd name="T40" fmla="*/ 17 w 21"/>
                <a:gd name="T41" fmla="*/ 13 h 25"/>
                <a:gd name="T42" fmla="*/ 15 w 21"/>
                <a:gd name="T43" fmla="*/ 13 h 25"/>
                <a:gd name="T44" fmla="*/ 14 w 21"/>
                <a:gd name="T45" fmla="*/ 13 h 25"/>
                <a:gd name="T46" fmla="*/ 12 w 21"/>
                <a:gd name="T47" fmla="*/ 13 h 25"/>
                <a:gd name="T48" fmla="*/ 10 w 21"/>
                <a:gd name="T49" fmla="*/ 13 h 25"/>
                <a:gd name="T50" fmla="*/ 10 w 21"/>
                <a:gd name="T51" fmla="*/ 13 h 25"/>
                <a:gd name="T52" fmla="*/ 12 w 21"/>
                <a:gd name="T53" fmla="*/ 13 h 25"/>
                <a:gd name="T54" fmla="*/ 14 w 21"/>
                <a:gd name="T55" fmla="*/ 12 h 25"/>
                <a:gd name="T56" fmla="*/ 15 w 21"/>
                <a:gd name="T57" fmla="*/ 11 h 25"/>
                <a:gd name="T58" fmla="*/ 16 w 21"/>
                <a:gd name="T59" fmla="*/ 8 h 25"/>
                <a:gd name="T60" fmla="*/ 16 w 21"/>
                <a:gd name="T61" fmla="*/ 5 h 25"/>
                <a:gd name="T62" fmla="*/ 15 w 21"/>
                <a:gd name="T63" fmla="*/ 2 h 25"/>
                <a:gd name="T64" fmla="*/ 14 w 21"/>
                <a:gd name="T65" fmla="*/ 2 h 25"/>
                <a:gd name="T66" fmla="*/ 10 w 21"/>
                <a:gd name="T67" fmla="*/ 13 h 25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1"/>
                <a:gd name="T103" fmla="*/ 0 h 25"/>
                <a:gd name="T104" fmla="*/ 21 w 21"/>
                <a:gd name="T105" fmla="*/ 25 h 25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1" h="25">
                  <a:moveTo>
                    <a:pt x="9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8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lnTo>
                    <a:pt x="9" y="13"/>
                  </a:lnTo>
                  <a:close/>
                  <a:moveTo>
                    <a:pt x="10" y="13"/>
                  </a:moveTo>
                  <a:lnTo>
                    <a:pt x="11" y="13"/>
                  </a:lnTo>
                  <a:lnTo>
                    <a:pt x="12" y="13"/>
                  </a:lnTo>
                  <a:lnTo>
                    <a:pt x="13" y="13"/>
                  </a:lnTo>
                  <a:lnTo>
                    <a:pt x="14" y="12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3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0" name="Freeform 9"/>
            <xdr:cNvSpPr>
              <a:spLocks noEditPoints="1"/>
            </xdr:cNvSpPr>
          </xdr:nvSpPr>
          <xdr:spPr bwMode="auto">
            <a:xfrm>
              <a:off x="133" y="156"/>
              <a:ext cx="20" cy="25"/>
            </a:xfrm>
            <a:custGeom>
              <a:avLst/>
              <a:gdLst>
                <a:gd name="T0" fmla="*/ 14 w 20"/>
                <a:gd name="T1" fmla="*/ 16 h 25"/>
                <a:gd name="T2" fmla="*/ 7 w 20"/>
                <a:gd name="T3" fmla="*/ 16 h 25"/>
                <a:gd name="T4" fmla="*/ 6 w 20"/>
                <a:gd name="T5" fmla="*/ 19 h 25"/>
                <a:gd name="T6" fmla="*/ 4 w 20"/>
                <a:gd name="T7" fmla="*/ 21 h 25"/>
                <a:gd name="T8" fmla="*/ 3 w 20"/>
                <a:gd name="T9" fmla="*/ 22 h 25"/>
                <a:gd name="T10" fmla="*/ 3 w 20"/>
                <a:gd name="T11" fmla="*/ 24 h 25"/>
                <a:gd name="T12" fmla="*/ 4 w 20"/>
                <a:gd name="T13" fmla="*/ 24 h 25"/>
                <a:gd name="T14" fmla="*/ 5 w 20"/>
                <a:gd name="T15" fmla="*/ 24 h 25"/>
                <a:gd name="T16" fmla="*/ 5 w 20"/>
                <a:gd name="T17" fmla="*/ 25 h 25"/>
                <a:gd name="T18" fmla="*/ 0 w 20"/>
                <a:gd name="T19" fmla="*/ 25 h 25"/>
                <a:gd name="T20" fmla="*/ 0 w 20"/>
                <a:gd name="T21" fmla="*/ 24 h 25"/>
                <a:gd name="T22" fmla="*/ 0 w 20"/>
                <a:gd name="T23" fmla="*/ 24 h 25"/>
                <a:gd name="T24" fmla="*/ 1 w 20"/>
                <a:gd name="T25" fmla="*/ 24 h 25"/>
                <a:gd name="T26" fmla="*/ 2 w 20"/>
                <a:gd name="T27" fmla="*/ 22 h 25"/>
                <a:gd name="T28" fmla="*/ 3 w 20"/>
                <a:gd name="T29" fmla="*/ 21 h 25"/>
                <a:gd name="T30" fmla="*/ 17 w 20"/>
                <a:gd name="T31" fmla="*/ 0 h 25"/>
                <a:gd name="T32" fmla="*/ 18 w 20"/>
                <a:gd name="T33" fmla="*/ 0 h 25"/>
                <a:gd name="T34" fmla="*/ 18 w 20"/>
                <a:gd name="T35" fmla="*/ 19 h 25"/>
                <a:gd name="T36" fmla="*/ 18 w 20"/>
                <a:gd name="T37" fmla="*/ 21 h 25"/>
                <a:gd name="T38" fmla="*/ 18 w 20"/>
                <a:gd name="T39" fmla="*/ 22 h 25"/>
                <a:gd name="T40" fmla="*/ 18 w 20"/>
                <a:gd name="T41" fmla="*/ 24 h 25"/>
                <a:gd name="T42" fmla="*/ 19 w 20"/>
                <a:gd name="T43" fmla="*/ 24 h 25"/>
                <a:gd name="T44" fmla="*/ 20 w 20"/>
                <a:gd name="T45" fmla="*/ 24 h 25"/>
                <a:gd name="T46" fmla="*/ 20 w 20"/>
                <a:gd name="T47" fmla="*/ 25 h 25"/>
                <a:gd name="T48" fmla="*/ 11 w 20"/>
                <a:gd name="T49" fmla="*/ 25 h 25"/>
                <a:gd name="T50" fmla="*/ 11 w 20"/>
                <a:gd name="T51" fmla="*/ 24 h 25"/>
                <a:gd name="T52" fmla="*/ 12 w 20"/>
                <a:gd name="T53" fmla="*/ 24 h 25"/>
                <a:gd name="T54" fmla="*/ 13 w 20"/>
                <a:gd name="T55" fmla="*/ 24 h 25"/>
                <a:gd name="T56" fmla="*/ 14 w 20"/>
                <a:gd name="T57" fmla="*/ 24 h 25"/>
                <a:gd name="T58" fmla="*/ 14 w 20"/>
                <a:gd name="T59" fmla="*/ 22 h 25"/>
                <a:gd name="T60" fmla="*/ 14 w 20"/>
                <a:gd name="T61" fmla="*/ 21 h 25"/>
                <a:gd name="T62" fmla="*/ 14 w 20"/>
                <a:gd name="T63" fmla="*/ 16 h 25"/>
                <a:gd name="T64" fmla="*/ 14 w 20"/>
                <a:gd name="T65" fmla="*/ 16 h 25"/>
                <a:gd name="T66" fmla="*/ 14 w 20"/>
                <a:gd name="T67" fmla="*/ 8 h 25"/>
                <a:gd name="T68" fmla="*/ 7 w 20"/>
                <a:gd name="T69" fmla="*/ 16 h 25"/>
                <a:gd name="T70" fmla="*/ 14 w 20"/>
                <a:gd name="T71" fmla="*/ 16 h 25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w 20"/>
                <a:gd name="T109" fmla="*/ 0 h 25"/>
                <a:gd name="T110" fmla="*/ 20 w 20"/>
                <a:gd name="T111" fmla="*/ 25 h 25"/>
              </a:gdLst>
              <a:ahLst/>
              <a:cxnLst>
                <a:cxn ang="T72">
                  <a:pos x="T0" y="T1"/>
                </a:cxn>
                <a:cxn ang="T73">
                  <a:pos x="T2" y="T3"/>
                </a:cxn>
                <a:cxn ang="T74">
                  <a:pos x="T4" y="T5"/>
                </a:cxn>
                <a:cxn ang="T75">
                  <a:pos x="T6" y="T7"/>
                </a:cxn>
                <a:cxn ang="T76">
                  <a:pos x="T8" y="T9"/>
                </a:cxn>
                <a:cxn ang="T77">
                  <a:pos x="T10" y="T11"/>
                </a:cxn>
                <a:cxn ang="T78">
                  <a:pos x="T12" y="T13"/>
                </a:cxn>
                <a:cxn ang="T79">
                  <a:pos x="T14" y="T15"/>
                </a:cxn>
                <a:cxn ang="T80">
                  <a:pos x="T16" y="T17"/>
                </a:cxn>
                <a:cxn ang="T81">
                  <a:pos x="T18" y="T19"/>
                </a:cxn>
                <a:cxn ang="T82">
                  <a:pos x="T20" y="T21"/>
                </a:cxn>
                <a:cxn ang="T83">
                  <a:pos x="T22" y="T23"/>
                </a:cxn>
                <a:cxn ang="T84">
                  <a:pos x="T24" y="T25"/>
                </a:cxn>
                <a:cxn ang="T85">
                  <a:pos x="T26" y="T27"/>
                </a:cxn>
                <a:cxn ang="T86">
                  <a:pos x="T28" y="T29"/>
                </a:cxn>
                <a:cxn ang="T87">
                  <a:pos x="T30" y="T31"/>
                </a:cxn>
                <a:cxn ang="T88">
                  <a:pos x="T32" y="T33"/>
                </a:cxn>
                <a:cxn ang="T89">
                  <a:pos x="T34" y="T35"/>
                </a:cxn>
                <a:cxn ang="T90">
                  <a:pos x="T36" y="T37"/>
                </a:cxn>
                <a:cxn ang="T91">
                  <a:pos x="T38" y="T39"/>
                </a:cxn>
                <a:cxn ang="T92">
                  <a:pos x="T40" y="T41"/>
                </a:cxn>
                <a:cxn ang="T93">
                  <a:pos x="T42" y="T43"/>
                </a:cxn>
                <a:cxn ang="T94">
                  <a:pos x="T44" y="T45"/>
                </a:cxn>
                <a:cxn ang="T95">
                  <a:pos x="T46" y="T47"/>
                </a:cxn>
                <a:cxn ang="T96">
                  <a:pos x="T48" y="T49"/>
                </a:cxn>
                <a:cxn ang="T97">
                  <a:pos x="T50" y="T51"/>
                </a:cxn>
                <a:cxn ang="T98">
                  <a:pos x="T52" y="T53"/>
                </a:cxn>
                <a:cxn ang="T99">
                  <a:pos x="T54" y="T55"/>
                </a:cxn>
                <a:cxn ang="T100">
                  <a:pos x="T56" y="T57"/>
                </a:cxn>
                <a:cxn ang="T101">
                  <a:pos x="T58" y="T59"/>
                </a:cxn>
                <a:cxn ang="T102">
                  <a:pos x="T60" y="T61"/>
                </a:cxn>
                <a:cxn ang="T103">
                  <a:pos x="T62" y="T63"/>
                </a:cxn>
                <a:cxn ang="T104">
                  <a:pos x="T64" y="T65"/>
                </a:cxn>
                <a:cxn ang="T105">
                  <a:pos x="T66" y="T67"/>
                </a:cxn>
                <a:cxn ang="T106">
                  <a:pos x="T68" y="T69"/>
                </a:cxn>
                <a:cxn ang="T107">
                  <a:pos x="T70" y="T71"/>
                </a:cxn>
              </a:cxnLst>
              <a:rect l="T108" t="T109" r="T110" b="T111"/>
              <a:pathLst>
                <a:path w="20" h="25">
                  <a:moveTo>
                    <a:pt x="14" y="16"/>
                  </a:moveTo>
                  <a:lnTo>
                    <a:pt x="7" y="16"/>
                  </a:lnTo>
                  <a:lnTo>
                    <a:pt x="6" y="19"/>
                  </a:lnTo>
                  <a:lnTo>
                    <a:pt x="4" y="21"/>
                  </a:lnTo>
                  <a:lnTo>
                    <a:pt x="3" y="22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5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2"/>
                  </a:lnTo>
                  <a:lnTo>
                    <a:pt x="3" y="21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8" y="19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0" y="25"/>
                  </a:lnTo>
                  <a:lnTo>
                    <a:pt x="11" y="25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4" y="22"/>
                  </a:lnTo>
                  <a:lnTo>
                    <a:pt x="14" y="21"/>
                  </a:lnTo>
                  <a:lnTo>
                    <a:pt x="14" y="16"/>
                  </a:lnTo>
                  <a:close/>
                  <a:moveTo>
                    <a:pt x="14" y="16"/>
                  </a:moveTo>
                  <a:lnTo>
                    <a:pt x="14" y="8"/>
                  </a:lnTo>
                  <a:lnTo>
                    <a:pt x="7" y="16"/>
                  </a:lnTo>
                  <a:lnTo>
                    <a:pt x="14" y="16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1" name="Freeform 10"/>
            <xdr:cNvSpPr>
              <a:spLocks/>
            </xdr:cNvSpPr>
          </xdr:nvSpPr>
          <xdr:spPr bwMode="auto">
            <a:xfrm>
              <a:off x="154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2" name="Freeform 11"/>
            <xdr:cNvSpPr>
              <a:spLocks noEditPoints="1"/>
            </xdr:cNvSpPr>
          </xdr:nvSpPr>
          <xdr:spPr bwMode="auto">
            <a:xfrm>
              <a:off x="174" y="156"/>
              <a:ext cx="20" cy="32"/>
            </a:xfrm>
            <a:custGeom>
              <a:avLst/>
              <a:gdLst>
                <a:gd name="T0" fmla="*/ 5 w 20"/>
                <a:gd name="T1" fmla="*/ 27 h 32"/>
                <a:gd name="T2" fmla="*/ 8 w 20"/>
                <a:gd name="T3" fmla="*/ 27 h 32"/>
                <a:gd name="T4" fmla="*/ 10 w 20"/>
                <a:gd name="T5" fmla="*/ 27 h 32"/>
                <a:gd name="T6" fmla="*/ 12 w 20"/>
                <a:gd name="T7" fmla="*/ 29 h 32"/>
                <a:gd name="T8" fmla="*/ 15 w 20"/>
                <a:gd name="T9" fmla="*/ 29 h 32"/>
                <a:gd name="T10" fmla="*/ 17 w 20"/>
                <a:gd name="T11" fmla="*/ 28 h 32"/>
                <a:gd name="T12" fmla="*/ 19 w 20"/>
                <a:gd name="T13" fmla="*/ 27 h 32"/>
                <a:gd name="T14" fmla="*/ 18 w 20"/>
                <a:gd name="T15" fmla="*/ 29 h 32"/>
                <a:gd name="T16" fmla="*/ 16 w 20"/>
                <a:gd name="T17" fmla="*/ 31 h 32"/>
                <a:gd name="T18" fmla="*/ 14 w 20"/>
                <a:gd name="T19" fmla="*/ 32 h 32"/>
                <a:gd name="T20" fmla="*/ 11 w 20"/>
                <a:gd name="T21" fmla="*/ 32 h 32"/>
                <a:gd name="T22" fmla="*/ 8 w 20"/>
                <a:gd name="T23" fmla="*/ 32 h 32"/>
                <a:gd name="T24" fmla="*/ 7 w 20"/>
                <a:gd name="T25" fmla="*/ 31 h 32"/>
                <a:gd name="T26" fmla="*/ 5 w 20"/>
                <a:gd name="T27" fmla="*/ 29 h 32"/>
                <a:gd name="T28" fmla="*/ 2 w 20"/>
                <a:gd name="T29" fmla="*/ 29 h 32"/>
                <a:gd name="T30" fmla="*/ 0 w 20"/>
                <a:gd name="T31" fmla="*/ 29 h 32"/>
                <a:gd name="T32" fmla="*/ 4 w 20"/>
                <a:gd name="T33" fmla="*/ 24 h 32"/>
                <a:gd name="T34" fmla="*/ 1 w 20"/>
                <a:gd name="T35" fmla="*/ 24 h 32"/>
                <a:gd name="T36" fmla="*/ 1 w 20"/>
                <a:gd name="T37" fmla="*/ 21 h 32"/>
                <a:gd name="T38" fmla="*/ 0 w 20"/>
                <a:gd name="T39" fmla="*/ 16 h 32"/>
                <a:gd name="T40" fmla="*/ 1 w 20"/>
                <a:gd name="T41" fmla="*/ 12 h 32"/>
                <a:gd name="T42" fmla="*/ 2 w 20"/>
                <a:gd name="T43" fmla="*/ 8 h 32"/>
                <a:gd name="T44" fmla="*/ 4 w 20"/>
                <a:gd name="T45" fmla="*/ 5 h 32"/>
                <a:gd name="T46" fmla="*/ 7 w 20"/>
                <a:gd name="T47" fmla="*/ 2 h 32"/>
                <a:gd name="T48" fmla="*/ 9 w 20"/>
                <a:gd name="T49" fmla="*/ 0 h 32"/>
                <a:gd name="T50" fmla="*/ 12 w 20"/>
                <a:gd name="T51" fmla="*/ 0 h 32"/>
                <a:gd name="T52" fmla="*/ 15 w 20"/>
                <a:gd name="T53" fmla="*/ 0 h 32"/>
                <a:gd name="T54" fmla="*/ 17 w 20"/>
                <a:gd name="T55" fmla="*/ 2 h 32"/>
                <a:gd name="T56" fmla="*/ 19 w 20"/>
                <a:gd name="T57" fmla="*/ 5 h 32"/>
                <a:gd name="T58" fmla="*/ 20 w 20"/>
                <a:gd name="T59" fmla="*/ 8 h 32"/>
                <a:gd name="T60" fmla="*/ 19 w 20"/>
                <a:gd name="T61" fmla="*/ 11 h 32"/>
                <a:gd name="T62" fmla="*/ 18 w 20"/>
                <a:gd name="T63" fmla="*/ 13 h 32"/>
                <a:gd name="T64" fmla="*/ 16 w 20"/>
                <a:gd name="T65" fmla="*/ 18 h 32"/>
                <a:gd name="T66" fmla="*/ 15 w 20"/>
                <a:gd name="T67" fmla="*/ 21 h 32"/>
                <a:gd name="T68" fmla="*/ 14 w 20"/>
                <a:gd name="T69" fmla="*/ 22 h 32"/>
                <a:gd name="T70" fmla="*/ 11 w 20"/>
                <a:gd name="T71" fmla="*/ 24 h 32"/>
                <a:gd name="T72" fmla="*/ 9 w 20"/>
                <a:gd name="T73" fmla="*/ 25 h 32"/>
                <a:gd name="T74" fmla="*/ 7 w 20"/>
                <a:gd name="T75" fmla="*/ 25 h 32"/>
                <a:gd name="T76" fmla="*/ 12 w 20"/>
                <a:gd name="T77" fmla="*/ 0 h 32"/>
                <a:gd name="T78" fmla="*/ 9 w 20"/>
                <a:gd name="T79" fmla="*/ 2 h 32"/>
                <a:gd name="T80" fmla="*/ 8 w 20"/>
                <a:gd name="T81" fmla="*/ 6 h 32"/>
                <a:gd name="T82" fmla="*/ 6 w 20"/>
                <a:gd name="T83" fmla="*/ 8 h 32"/>
                <a:gd name="T84" fmla="*/ 5 w 20"/>
                <a:gd name="T85" fmla="*/ 12 h 32"/>
                <a:gd name="T86" fmla="*/ 4 w 20"/>
                <a:gd name="T87" fmla="*/ 15 h 32"/>
                <a:gd name="T88" fmla="*/ 4 w 20"/>
                <a:gd name="T89" fmla="*/ 19 h 32"/>
                <a:gd name="T90" fmla="*/ 5 w 20"/>
                <a:gd name="T91" fmla="*/ 24 h 32"/>
                <a:gd name="T92" fmla="*/ 8 w 20"/>
                <a:gd name="T93" fmla="*/ 24 h 32"/>
                <a:gd name="T94" fmla="*/ 10 w 20"/>
                <a:gd name="T95" fmla="*/ 24 h 32"/>
                <a:gd name="T96" fmla="*/ 12 w 20"/>
                <a:gd name="T97" fmla="*/ 21 h 32"/>
                <a:gd name="T98" fmla="*/ 13 w 20"/>
                <a:gd name="T99" fmla="*/ 16 h 32"/>
                <a:gd name="T100" fmla="*/ 15 w 20"/>
                <a:gd name="T101" fmla="*/ 13 h 32"/>
                <a:gd name="T102" fmla="*/ 15 w 20"/>
                <a:gd name="T103" fmla="*/ 9 h 32"/>
                <a:gd name="T104" fmla="*/ 15 w 20"/>
                <a:gd name="T105" fmla="*/ 5 h 32"/>
                <a:gd name="T106" fmla="*/ 15 w 20"/>
                <a:gd name="T107" fmla="*/ 0 h 32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w 20"/>
                <a:gd name="T163" fmla="*/ 0 h 32"/>
                <a:gd name="T164" fmla="*/ 20 w 20"/>
                <a:gd name="T165" fmla="*/ 32 h 32"/>
              </a:gdLst>
              <a:ahLst/>
              <a:cxnLst>
                <a:cxn ang="T108">
                  <a:pos x="T0" y="T1"/>
                </a:cxn>
                <a:cxn ang="T109">
                  <a:pos x="T2" y="T3"/>
                </a:cxn>
                <a:cxn ang="T110">
                  <a:pos x="T4" y="T5"/>
                </a:cxn>
                <a:cxn ang="T111">
                  <a:pos x="T6" y="T7"/>
                </a:cxn>
                <a:cxn ang="T112">
                  <a:pos x="T8" y="T9"/>
                </a:cxn>
                <a:cxn ang="T113">
                  <a:pos x="T10" y="T11"/>
                </a:cxn>
                <a:cxn ang="T114">
                  <a:pos x="T12" y="T13"/>
                </a:cxn>
                <a:cxn ang="T115">
                  <a:pos x="T14" y="T15"/>
                </a:cxn>
                <a:cxn ang="T116">
                  <a:pos x="T16" y="T17"/>
                </a:cxn>
                <a:cxn ang="T117">
                  <a:pos x="T18" y="T19"/>
                </a:cxn>
                <a:cxn ang="T118">
                  <a:pos x="T20" y="T21"/>
                </a:cxn>
                <a:cxn ang="T119">
                  <a:pos x="T22" y="T23"/>
                </a:cxn>
                <a:cxn ang="T120">
                  <a:pos x="T24" y="T25"/>
                </a:cxn>
                <a:cxn ang="T121">
                  <a:pos x="T26" y="T27"/>
                </a:cxn>
                <a:cxn ang="T122">
                  <a:pos x="T28" y="T29"/>
                </a:cxn>
                <a:cxn ang="T123">
                  <a:pos x="T30" y="T31"/>
                </a:cxn>
                <a:cxn ang="T124">
                  <a:pos x="T32" y="T33"/>
                </a:cxn>
                <a:cxn ang="T125">
                  <a:pos x="T34" y="T35"/>
                </a:cxn>
                <a:cxn ang="T126">
                  <a:pos x="T36" y="T37"/>
                </a:cxn>
                <a:cxn ang="T127">
                  <a:pos x="T38" y="T39"/>
                </a:cxn>
                <a:cxn ang="T128">
                  <a:pos x="T40" y="T41"/>
                </a:cxn>
                <a:cxn ang="T129">
                  <a:pos x="T42" y="T43"/>
                </a:cxn>
                <a:cxn ang="T130">
                  <a:pos x="T44" y="T45"/>
                </a:cxn>
                <a:cxn ang="T131">
                  <a:pos x="T46" y="T47"/>
                </a:cxn>
                <a:cxn ang="T132">
                  <a:pos x="T48" y="T49"/>
                </a:cxn>
                <a:cxn ang="T133">
                  <a:pos x="T50" y="T51"/>
                </a:cxn>
                <a:cxn ang="T134">
                  <a:pos x="T52" y="T53"/>
                </a:cxn>
                <a:cxn ang="T135">
                  <a:pos x="T54" y="T55"/>
                </a:cxn>
                <a:cxn ang="T136">
                  <a:pos x="T56" y="T57"/>
                </a:cxn>
                <a:cxn ang="T137">
                  <a:pos x="T58" y="T59"/>
                </a:cxn>
                <a:cxn ang="T138">
                  <a:pos x="T60" y="T61"/>
                </a:cxn>
                <a:cxn ang="T139">
                  <a:pos x="T62" y="T63"/>
                </a:cxn>
                <a:cxn ang="T140">
                  <a:pos x="T64" y="T65"/>
                </a:cxn>
                <a:cxn ang="T141">
                  <a:pos x="T66" y="T67"/>
                </a:cxn>
                <a:cxn ang="T142">
                  <a:pos x="T68" y="T69"/>
                </a:cxn>
                <a:cxn ang="T143">
                  <a:pos x="T70" y="T71"/>
                </a:cxn>
                <a:cxn ang="T144">
                  <a:pos x="T72" y="T73"/>
                </a:cxn>
                <a:cxn ang="T145">
                  <a:pos x="T74" y="T75"/>
                </a:cxn>
                <a:cxn ang="T146">
                  <a:pos x="T76" y="T77"/>
                </a:cxn>
                <a:cxn ang="T147">
                  <a:pos x="T78" y="T79"/>
                </a:cxn>
                <a:cxn ang="T148">
                  <a:pos x="T80" y="T81"/>
                </a:cxn>
                <a:cxn ang="T149">
                  <a:pos x="T82" y="T83"/>
                </a:cxn>
                <a:cxn ang="T150">
                  <a:pos x="T84" y="T85"/>
                </a:cxn>
                <a:cxn ang="T151">
                  <a:pos x="T86" y="T87"/>
                </a:cxn>
                <a:cxn ang="T152">
                  <a:pos x="T88" y="T89"/>
                </a:cxn>
                <a:cxn ang="T153">
                  <a:pos x="T90" y="T91"/>
                </a:cxn>
                <a:cxn ang="T154">
                  <a:pos x="T92" y="T93"/>
                </a:cxn>
                <a:cxn ang="T155">
                  <a:pos x="T94" y="T95"/>
                </a:cxn>
                <a:cxn ang="T156">
                  <a:pos x="T96" y="T97"/>
                </a:cxn>
                <a:cxn ang="T157">
                  <a:pos x="T98" y="T99"/>
                </a:cxn>
                <a:cxn ang="T158">
                  <a:pos x="T100" y="T101"/>
                </a:cxn>
                <a:cxn ang="T159">
                  <a:pos x="T102" y="T103"/>
                </a:cxn>
                <a:cxn ang="T160">
                  <a:pos x="T104" y="T105"/>
                </a:cxn>
                <a:cxn ang="T161">
                  <a:pos x="T106" y="T107"/>
                </a:cxn>
              </a:cxnLst>
              <a:rect l="T162" t="T163" r="T164" b="T165"/>
              <a:pathLst>
                <a:path w="20" h="32">
                  <a:moveTo>
                    <a:pt x="6" y="25"/>
                  </a:moveTo>
                  <a:lnTo>
                    <a:pt x="4" y="27"/>
                  </a:lnTo>
                  <a:lnTo>
                    <a:pt x="5" y="27"/>
                  </a:lnTo>
                  <a:lnTo>
                    <a:pt x="6" y="27"/>
                  </a:lnTo>
                  <a:lnTo>
                    <a:pt x="7" y="27"/>
                  </a:lnTo>
                  <a:lnTo>
                    <a:pt x="8" y="27"/>
                  </a:lnTo>
                  <a:lnTo>
                    <a:pt x="9" y="27"/>
                  </a:lnTo>
                  <a:lnTo>
                    <a:pt x="10" y="27"/>
                  </a:lnTo>
                  <a:lnTo>
                    <a:pt x="10" y="28"/>
                  </a:lnTo>
                  <a:lnTo>
                    <a:pt x="11" y="28"/>
                  </a:lnTo>
                  <a:lnTo>
                    <a:pt x="12" y="29"/>
                  </a:lnTo>
                  <a:lnTo>
                    <a:pt x="13" y="29"/>
                  </a:lnTo>
                  <a:lnTo>
                    <a:pt x="14" y="29"/>
                  </a:lnTo>
                  <a:lnTo>
                    <a:pt x="15" y="29"/>
                  </a:lnTo>
                  <a:lnTo>
                    <a:pt x="16" y="29"/>
                  </a:lnTo>
                  <a:lnTo>
                    <a:pt x="17" y="28"/>
                  </a:lnTo>
                  <a:lnTo>
                    <a:pt x="18" y="28"/>
                  </a:lnTo>
                  <a:lnTo>
                    <a:pt x="18" y="27"/>
                  </a:lnTo>
                  <a:lnTo>
                    <a:pt x="19" y="27"/>
                  </a:lnTo>
                  <a:lnTo>
                    <a:pt x="19" y="28"/>
                  </a:lnTo>
                  <a:lnTo>
                    <a:pt x="18" y="28"/>
                  </a:lnTo>
                  <a:lnTo>
                    <a:pt x="18" y="29"/>
                  </a:lnTo>
                  <a:lnTo>
                    <a:pt x="17" y="29"/>
                  </a:lnTo>
                  <a:lnTo>
                    <a:pt x="16" y="29"/>
                  </a:lnTo>
                  <a:lnTo>
                    <a:pt x="16" y="31"/>
                  </a:lnTo>
                  <a:lnTo>
                    <a:pt x="15" y="31"/>
                  </a:lnTo>
                  <a:lnTo>
                    <a:pt x="15" y="32"/>
                  </a:lnTo>
                  <a:lnTo>
                    <a:pt x="14" y="32"/>
                  </a:lnTo>
                  <a:lnTo>
                    <a:pt x="13" y="32"/>
                  </a:lnTo>
                  <a:lnTo>
                    <a:pt x="12" y="32"/>
                  </a:lnTo>
                  <a:lnTo>
                    <a:pt x="11" y="32"/>
                  </a:lnTo>
                  <a:lnTo>
                    <a:pt x="10" y="32"/>
                  </a:lnTo>
                  <a:lnTo>
                    <a:pt x="9" y="32"/>
                  </a:lnTo>
                  <a:lnTo>
                    <a:pt x="8" y="32"/>
                  </a:lnTo>
                  <a:lnTo>
                    <a:pt x="7" y="32"/>
                  </a:lnTo>
                  <a:lnTo>
                    <a:pt x="7" y="31"/>
                  </a:lnTo>
                  <a:lnTo>
                    <a:pt x="6" y="31"/>
                  </a:lnTo>
                  <a:lnTo>
                    <a:pt x="5" y="31"/>
                  </a:lnTo>
                  <a:lnTo>
                    <a:pt x="5" y="29"/>
                  </a:lnTo>
                  <a:lnTo>
                    <a:pt x="4" y="29"/>
                  </a:lnTo>
                  <a:lnTo>
                    <a:pt x="3" y="29"/>
                  </a:lnTo>
                  <a:lnTo>
                    <a:pt x="2" y="29"/>
                  </a:lnTo>
                  <a:lnTo>
                    <a:pt x="1" y="29"/>
                  </a:lnTo>
                  <a:lnTo>
                    <a:pt x="1" y="31"/>
                  </a:lnTo>
                  <a:lnTo>
                    <a:pt x="0" y="29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7" y="16"/>
                  </a:lnTo>
                  <a:lnTo>
                    <a:pt x="16" y="18"/>
                  </a:lnTo>
                  <a:lnTo>
                    <a:pt x="16" y="19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2"/>
                  </a:lnTo>
                  <a:lnTo>
                    <a:pt x="12" y="22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5" y="11"/>
                  </a:lnTo>
                  <a:lnTo>
                    <a:pt x="15" y="9"/>
                  </a:lnTo>
                  <a:lnTo>
                    <a:pt x="15" y="8"/>
                  </a:lnTo>
                  <a:lnTo>
                    <a:pt x="15" y="6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3" name="Freeform 12"/>
            <xdr:cNvSpPr>
              <a:spLocks/>
            </xdr:cNvSpPr>
          </xdr:nvSpPr>
          <xdr:spPr bwMode="auto">
            <a:xfrm>
              <a:off x="196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1 w 22"/>
                <a:gd name="T3" fmla="*/ 2 h 25"/>
                <a:gd name="T4" fmla="*/ 20 w 22"/>
                <a:gd name="T5" fmla="*/ 5 h 25"/>
                <a:gd name="T6" fmla="*/ 19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3 w 22"/>
                <a:gd name="T13" fmla="*/ 24 h 25"/>
                <a:gd name="T14" fmla="*/ 11 w 22"/>
                <a:gd name="T15" fmla="*/ 24 h 25"/>
                <a:gd name="T16" fmla="*/ 9 w 22"/>
                <a:gd name="T17" fmla="*/ 25 h 25"/>
                <a:gd name="T18" fmla="*/ 7 w 22"/>
                <a:gd name="T19" fmla="*/ 25 h 25"/>
                <a:gd name="T20" fmla="*/ 6 w 22"/>
                <a:gd name="T21" fmla="*/ 25 h 25"/>
                <a:gd name="T22" fmla="*/ 4 w 22"/>
                <a:gd name="T23" fmla="*/ 24 h 25"/>
                <a:gd name="T24" fmla="*/ 2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4 w 22"/>
                <a:gd name="T33" fmla="*/ 5 h 25"/>
                <a:gd name="T34" fmla="*/ 3 w 22"/>
                <a:gd name="T35" fmla="*/ 2 h 25"/>
                <a:gd name="T36" fmla="*/ 1 w 22"/>
                <a:gd name="T37" fmla="*/ 2 h 25"/>
                <a:gd name="T38" fmla="*/ 12 w 22"/>
                <a:gd name="T39" fmla="*/ 0 h 25"/>
                <a:gd name="T40" fmla="*/ 11 w 22"/>
                <a:gd name="T41" fmla="*/ 2 h 25"/>
                <a:gd name="T42" fmla="*/ 9 w 22"/>
                <a:gd name="T43" fmla="*/ 3 h 25"/>
                <a:gd name="T44" fmla="*/ 8 w 22"/>
                <a:gd name="T45" fmla="*/ 5 h 25"/>
                <a:gd name="T46" fmla="*/ 6 w 22"/>
                <a:gd name="T47" fmla="*/ 16 h 25"/>
                <a:gd name="T48" fmla="*/ 5 w 22"/>
                <a:gd name="T49" fmla="*/ 18 h 25"/>
                <a:gd name="T50" fmla="*/ 5 w 22"/>
                <a:gd name="T51" fmla="*/ 21 h 25"/>
                <a:gd name="T52" fmla="*/ 7 w 22"/>
                <a:gd name="T53" fmla="*/ 24 h 25"/>
                <a:gd name="T54" fmla="*/ 8 w 22"/>
                <a:gd name="T55" fmla="*/ 24 h 25"/>
                <a:gd name="T56" fmla="*/ 10 w 22"/>
                <a:gd name="T57" fmla="*/ 24 h 25"/>
                <a:gd name="T58" fmla="*/ 11 w 22"/>
                <a:gd name="T59" fmla="*/ 22 h 25"/>
                <a:gd name="T60" fmla="*/ 13 w 22"/>
                <a:gd name="T61" fmla="*/ 21 h 25"/>
                <a:gd name="T62" fmla="*/ 14 w 22"/>
                <a:gd name="T63" fmla="*/ 19 h 25"/>
                <a:gd name="T64" fmla="*/ 14 w 22"/>
                <a:gd name="T65" fmla="*/ 18 h 25"/>
                <a:gd name="T66" fmla="*/ 18 w 22"/>
                <a:gd name="T67" fmla="*/ 6 h 25"/>
                <a:gd name="T68" fmla="*/ 18 w 22"/>
                <a:gd name="T69" fmla="*/ 3 h 25"/>
                <a:gd name="T70" fmla="*/ 16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3"/>
                  </a:lnTo>
                  <a:lnTo>
                    <a:pt x="20" y="5"/>
                  </a:lnTo>
                  <a:lnTo>
                    <a:pt x="19" y="5"/>
                  </a:lnTo>
                  <a:lnTo>
                    <a:pt x="19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4" y="6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2" y="0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6" y="16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2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8" y="6"/>
                  </a:lnTo>
                  <a:lnTo>
                    <a:pt x="18" y="5"/>
                  </a:lnTo>
                  <a:lnTo>
                    <a:pt x="18" y="3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4" name="Freeform 13"/>
            <xdr:cNvSpPr>
              <a:spLocks/>
            </xdr:cNvSpPr>
          </xdr:nvSpPr>
          <xdr:spPr bwMode="auto">
            <a:xfrm>
              <a:off x="215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9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2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5" name="Freeform 14"/>
            <xdr:cNvSpPr>
              <a:spLocks/>
            </xdr:cNvSpPr>
          </xdr:nvSpPr>
          <xdr:spPr bwMode="auto">
            <a:xfrm>
              <a:off x="227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2 w 26"/>
                <a:gd name="T7" fmla="*/ 5 h 25"/>
                <a:gd name="T8" fmla="*/ 22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5 w 26"/>
                <a:gd name="T25" fmla="*/ 2 h 25"/>
                <a:gd name="T26" fmla="*/ 24 w 26"/>
                <a:gd name="T27" fmla="*/ 3 h 25"/>
                <a:gd name="T28" fmla="*/ 23 w 26"/>
                <a:gd name="T29" fmla="*/ 3 h 25"/>
                <a:gd name="T30" fmla="*/ 23 w 26"/>
                <a:gd name="T31" fmla="*/ 5 h 25"/>
                <a:gd name="T32" fmla="*/ 23 w 26"/>
                <a:gd name="T33" fmla="*/ 6 h 25"/>
                <a:gd name="T34" fmla="*/ 18 w 26"/>
                <a:gd name="T35" fmla="*/ 25 h 25"/>
                <a:gd name="T36" fmla="*/ 17 w 26"/>
                <a:gd name="T37" fmla="*/ 25 h 25"/>
                <a:gd name="T38" fmla="*/ 9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1 w 26"/>
                <a:gd name="T59" fmla="*/ 24 h 25"/>
                <a:gd name="T60" fmla="*/ 2 w 26"/>
                <a:gd name="T61" fmla="*/ 24 h 25"/>
                <a:gd name="T62" fmla="*/ 3 w 26"/>
                <a:gd name="T63" fmla="*/ 24 h 25"/>
                <a:gd name="T64" fmla="*/ 4 w 26"/>
                <a:gd name="T65" fmla="*/ 22 h 25"/>
                <a:gd name="T66" fmla="*/ 4 w 26"/>
                <a:gd name="T67" fmla="*/ 21 h 25"/>
                <a:gd name="T68" fmla="*/ 8 w 26"/>
                <a:gd name="T69" fmla="*/ 3 h 25"/>
                <a:gd name="T70" fmla="*/ 8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6" name="Freeform 15"/>
            <xdr:cNvSpPr>
              <a:spLocks/>
            </xdr:cNvSpPr>
          </xdr:nvSpPr>
          <xdr:spPr bwMode="auto">
            <a:xfrm>
              <a:off x="249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0 w 16"/>
                <a:gd name="T27" fmla="*/ 24 h 25"/>
                <a:gd name="T28" fmla="*/ 10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3 w 16"/>
                <a:gd name="T41" fmla="*/ 22 h 25"/>
                <a:gd name="T42" fmla="*/ 3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7" name="Freeform 16"/>
            <xdr:cNvSpPr>
              <a:spLocks/>
            </xdr:cNvSpPr>
          </xdr:nvSpPr>
          <xdr:spPr bwMode="auto">
            <a:xfrm>
              <a:off x="271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6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9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6 w 20"/>
                <a:gd name="T45" fmla="*/ 19 h 25"/>
                <a:gd name="T46" fmla="*/ 16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9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2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2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6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6" y="19"/>
                  </a:lnTo>
                  <a:lnTo>
                    <a:pt x="16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2" y="21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8" name="Freeform 17"/>
            <xdr:cNvSpPr>
              <a:spLocks noEditPoints="1"/>
            </xdr:cNvSpPr>
          </xdr:nvSpPr>
          <xdr:spPr bwMode="auto">
            <a:xfrm>
              <a:off x="291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4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2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8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19 w 20"/>
                <a:gd name="T47" fmla="*/ 13 h 25"/>
                <a:gd name="T48" fmla="*/ 18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2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2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4 w 20"/>
                <a:gd name="T81" fmla="*/ 16 h 25"/>
                <a:gd name="T82" fmla="*/ 4 w 20"/>
                <a:gd name="T83" fmla="*/ 19 h 25"/>
                <a:gd name="T84" fmla="*/ 4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1 w 20"/>
                <a:gd name="T93" fmla="*/ 22 h 25"/>
                <a:gd name="T94" fmla="*/ 12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19" y="5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19" y="12"/>
                  </a:lnTo>
                  <a:lnTo>
                    <a:pt x="19" y="13"/>
                  </a:lnTo>
                  <a:lnTo>
                    <a:pt x="18" y="13"/>
                  </a:lnTo>
                  <a:lnTo>
                    <a:pt x="18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2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69" name="Freeform 18"/>
            <xdr:cNvSpPr>
              <a:spLocks/>
            </xdr:cNvSpPr>
          </xdr:nvSpPr>
          <xdr:spPr bwMode="auto">
            <a:xfrm>
              <a:off x="310" y="156"/>
              <a:ext cx="27" cy="25"/>
            </a:xfrm>
            <a:custGeom>
              <a:avLst/>
              <a:gdLst>
                <a:gd name="T0" fmla="*/ 12 w 27"/>
                <a:gd name="T1" fmla="*/ 0 h 25"/>
                <a:gd name="T2" fmla="*/ 19 w 27"/>
                <a:gd name="T3" fmla="*/ 16 h 25"/>
                <a:gd name="T4" fmla="*/ 21 w 27"/>
                <a:gd name="T5" fmla="*/ 6 h 25"/>
                <a:gd name="T6" fmla="*/ 22 w 27"/>
                <a:gd name="T7" fmla="*/ 5 h 25"/>
                <a:gd name="T8" fmla="*/ 22 w 27"/>
                <a:gd name="T9" fmla="*/ 3 h 25"/>
                <a:gd name="T10" fmla="*/ 21 w 27"/>
                <a:gd name="T11" fmla="*/ 3 h 25"/>
                <a:gd name="T12" fmla="*/ 21 w 27"/>
                <a:gd name="T13" fmla="*/ 2 h 25"/>
                <a:gd name="T14" fmla="*/ 20 w 27"/>
                <a:gd name="T15" fmla="*/ 2 h 25"/>
                <a:gd name="T16" fmla="*/ 20 w 27"/>
                <a:gd name="T17" fmla="*/ 2 h 25"/>
                <a:gd name="T18" fmla="*/ 20 w 27"/>
                <a:gd name="T19" fmla="*/ 0 h 25"/>
                <a:gd name="T20" fmla="*/ 27 w 27"/>
                <a:gd name="T21" fmla="*/ 0 h 25"/>
                <a:gd name="T22" fmla="*/ 26 w 27"/>
                <a:gd name="T23" fmla="*/ 2 h 25"/>
                <a:gd name="T24" fmla="*/ 25 w 27"/>
                <a:gd name="T25" fmla="*/ 2 h 25"/>
                <a:gd name="T26" fmla="*/ 24 w 27"/>
                <a:gd name="T27" fmla="*/ 3 h 25"/>
                <a:gd name="T28" fmla="*/ 23 w 27"/>
                <a:gd name="T29" fmla="*/ 3 h 25"/>
                <a:gd name="T30" fmla="*/ 23 w 27"/>
                <a:gd name="T31" fmla="*/ 5 h 25"/>
                <a:gd name="T32" fmla="*/ 23 w 27"/>
                <a:gd name="T33" fmla="*/ 6 h 25"/>
                <a:gd name="T34" fmla="*/ 18 w 27"/>
                <a:gd name="T35" fmla="*/ 25 h 25"/>
                <a:gd name="T36" fmla="*/ 17 w 27"/>
                <a:gd name="T37" fmla="*/ 25 h 25"/>
                <a:gd name="T38" fmla="*/ 9 w 27"/>
                <a:gd name="T39" fmla="*/ 5 h 25"/>
                <a:gd name="T40" fmla="*/ 5 w 27"/>
                <a:gd name="T41" fmla="*/ 21 h 25"/>
                <a:gd name="T42" fmla="*/ 5 w 27"/>
                <a:gd name="T43" fmla="*/ 22 h 25"/>
                <a:gd name="T44" fmla="*/ 5 w 27"/>
                <a:gd name="T45" fmla="*/ 24 h 25"/>
                <a:gd name="T46" fmla="*/ 6 w 27"/>
                <a:gd name="T47" fmla="*/ 24 h 25"/>
                <a:gd name="T48" fmla="*/ 6 w 27"/>
                <a:gd name="T49" fmla="*/ 24 h 25"/>
                <a:gd name="T50" fmla="*/ 7 w 27"/>
                <a:gd name="T51" fmla="*/ 24 h 25"/>
                <a:gd name="T52" fmla="*/ 6 w 27"/>
                <a:gd name="T53" fmla="*/ 25 h 25"/>
                <a:gd name="T54" fmla="*/ 0 w 27"/>
                <a:gd name="T55" fmla="*/ 25 h 25"/>
                <a:gd name="T56" fmla="*/ 0 w 27"/>
                <a:gd name="T57" fmla="*/ 24 h 25"/>
                <a:gd name="T58" fmla="*/ 1 w 27"/>
                <a:gd name="T59" fmla="*/ 24 h 25"/>
                <a:gd name="T60" fmla="*/ 2 w 27"/>
                <a:gd name="T61" fmla="*/ 24 h 25"/>
                <a:gd name="T62" fmla="*/ 3 w 27"/>
                <a:gd name="T63" fmla="*/ 24 h 25"/>
                <a:gd name="T64" fmla="*/ 4 w 27"/>
                <a:gd name="T65" fmla="*/ 22 h 25"/>
                <a:gd name="T66" fmla="*/ 4 w 27"/>
                <a:gd name="T67" fmla="*/ 21 h 25"/>
                <a:gd name="T68" fmla="*/ 8 w 27"/>
                <a:gd name="T69" fmla="*/ 3 h 25"/>
                <a:gd name="T70" fmla="*/ 8 w 27"/>
                <a:gd name="T71" fmla="*/ 2 h 25"/>
                <a:gd name="T72" fmla="*/ 7 w 27"/>
                <a:gd name="T73" fmla="*/ 2 h 25"/>
                <a:gd name="T74" fmla="*/ 6 w 27"/>
                <a:gd name="T75" fmla="*/ 2 h 25"/>
                <a:gd name="T76" fmla="*/ 6 w 27"/>
                <a:gd name="T77" fmla="*/ 2 h 25"/>
                <a:gd name="T78" fmla="*/ 6 w 27"/>
                <a:gd name="T79" fmla="*/ 0 h 25"/>
                <a:gd name="T80" fmla="*/ 12 w 27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7"/>
                <a:gd name="T124" fmla="*/ 0 h 25"/>
                <a:gd name="T125" fmla="*/ 27 w 27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7" h="25">
                  <a:moveTo>
                    <a:pt x="12" y="0"/>
                  </a:moveTo>
                  <a:lnTo>
                    <a:pt x="19" y="16"/>
                  </a:lnTo>
                  <a:lnTo>
                    <a:pt x="21" y="6"/>
                  </a:lnTo>
                  <a:lnTo>
                    <a:pt x="22" y="5"/>
                  </a:lnTo>
                  <a:lnTo>
                    <a:pt x="22" y="3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20" y="0"/>
                  </a:lnTo>
                  <a:lnTo>
                    <a:pt x="27" y="0"/>
                  </a:lnTo>
                  <a:lnTo>
                    <a:pt x="26" y="2"/>
                  </a:lnTo>
                  <a:lnTo>
                    <a:pt x="25" y="2"/>
                  </a:lnTo>
                  <a:lnTo>
                    <a:pt x="24" y="3"/>
                  </a:lnTo>
                  <a:lnTo>
                    <a:pt x="23" y="3"/>
                  </a:lnTo>
                  <a:lnTo>
                    <a:pt x="23" y="5"/>
                  </a:lnTo>
                  <a:lnTo>
                    <a:pt x="23" y="6"/>
                  </a:lnTo>
                  <a:lnTo>
                    <a:pt x="18" y="25"/>
                  </a:lnTo>
                  <a:lnTo>
                    <a:pt x="17" y="25"/>
                  </a:lnTo>
                  <a:lnTo>
                    <a:pt x="9" y="5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0" name="Freeform 19"/>
            <xdr:cNvSpPr>
              <a:spLocks/>
            </xdr:cNvSpPr>
          </xdr:nvSpPr>
          <xdr:spPr bwMode="auto">
            <a:xfrm>
              <a:off x="332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3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3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3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6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5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5 w 19"/>
                <a:gd name="T77" fmla="*/ 9 h 25"/>
                <a:gd name="T78" fmla="*/ 5 w 19"/>
                <a:gd name="T79" fmla="*/ 6 h 25"/>
                <a:gd name="T80" fmla="*/ 6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2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1" name="Freeform 20"/>
            <xdr:cNvSpPr>
              <a:spLocks/>
            </xdr:cNvSpPr>
          </xdr:nvSpPr>
          <xdr:spPr bwMode="auto">
            <a:xfrm>
              <a:off x="352" y="156"/>
              <a:ext cx="20" cy="25"/>
            </a:xfrm>
            <a:custGeom>
              <a:avLst/>
              <a:gdLst>
                <a:gd name="T0" fmla="*/ 4 w 20"/>
                <a:gd name="T1" fmla="*/ 0 h 25"/>
                <a:gd name="T2" fmla="*/ 20 w 20"/>
                <a:gd name="T3" fmla="*/ 0 h 25"/>
                <a:gd name="T4" fmla="*/ 18 w 20"/>
                <a:gd name="T5" fmla="*/ 8 h 25"/>
                <a:gd name="T6" fmla="*/ 17 w 20"/>
                <a:gd name="T7" fmla="*/ 8 h 25"/>
                <a:gd name="T8" fmla="*/ 17 w 20"/>
                <a:gd name="T9" fmla="*/ 6 h 25"/>
                <a:gd name="T10" fmla="*/ 17 w 20"/>
                <a:gd name="T11" fmla="*/ 5 h 25"/>
                <a:gd name="T12" fmla="*/ 16 w 20"/>
                <a:gd name="T13" fmla="*/ 3 h 25"/>
                <a:gd name="T14" fmla="*/ 15 w 20"/>
                <a:gd name="T15" fmla="*/ 2 h 25"/>
                <a:gd name="T16" fmla="*/ 14 w 20"/>
                <a:gd name="T17" fmla="*/ 2 h 25"/>
                <a:gd name="T18" fmla="*/ 13 w 20"/>
                <a:gd name="T19" fmla="*/ 2 h 25"/>
                <a:gd name="T20" fmla="*/ 9 w 20"/>
                <a:gd name="T21" fmla="*/ 21 h 25"/>
                <a:gd name="T22" fmla="*/ 8 w 20"/>
                <a:gd name="T23" fmla="*/ 21 h 25"/>
                <a:gd name="T24" fmla="*/ 8 w 20"/>
                <a:gd name="T25" fmla="*/ 22 h 25"/>
                <a:gd name="T26" fmla="*/ 8 w 20"/>
                <a:gd name="T27" fmla="*/ 24 h 25"/>
                <a:gd name="T28" fmla="*/ 9 w 20"/>
                <a:gd name="T29" fmla="*/ 24 h 25"/>
                <a:gd name="T30" fmla="*/ 10 w 20"/>
                <a:gd name="T31" fmla="*/ 24 h 25"/>
                <a:gd name="T32" fmla="*/ 11 w 20"/>
                <a:gd name="T33" fmla="*/ 24 h 25"/>
                <a:gd name="T34" fmla="*/ 11 w 20"/>
                <a:gd name="T35" fmla="*/ 25 h 25"/>
                <a:gd name="T36" fmla="*/ 0 w 20"/>
                <a:gd name="T37" fmla="*/ 25 h 25"/>
                <a:gd name="T38" fmla="*/ 0 w 20"/>
                <a:gd name="T39" fmla="*/ 24 h 25"/>
                <a:gd name="T40" fmla="*/ 1 w 20"/>
                <a:gd name="T41" fmla="*/ 24 h 25"/>
                <a:gd name="T42" fmla="*/ 2 w 20"/>
                <a:gd name="T43" fmla="*/ 24 h 25"/>
                <a:gd name="T44" fmla="*/ 3 w 20"/>
                <a:gd name="T45" fmla="*/ 24 h 25"/>
                <a:gd name="T46" fmla="*/ 4 w 20"/>
                <a:gd name="T47" fmla="*/ 24 h 25"/>
                <a:gd name="T48" fmla="*/ 4 w 20"/>
                <a:gd name="T49" fmla="*/ 22 h 25"/>
                <a:gd name="T50" fmla="*/ 4 w 20"/>
                <a:gd name="T51" fmla="*/ 21 h 25"/>
                <a:gd name="T52" fmla="*/ 9 w 20"/>
                <a:gd name="T53" fmla="*/ 2 h 25"/>
                <a:gd name="T54" fmla="*/ 8 w 20"/>
                <a:gd name="T55" fmla="*/ 2 h 25"/>
                <a:gd name="T56" fmla="*/ 7 w 20"/>
                <a:gd name="T57" fmla="*/ 2 h 25"/>
                <a:gd name="T58" fmla="*/ 6 w 20"/>
                <a:gd name="T59" fmla="*/ 2 h 25"/>
                <a:gd name="T60" fmla="*/ 6 w 20"/>
                <a:gd name="T61" fmla="*/ 3 h 25"/>
                <a:gd name="T62" fmla="*/ 5 w 20"/>
                <a:gd name="T63" fmla="*/ 5 h 25"/>
                <a:gd name="T64" fmla="*/ 4 w 20"/>
                <a:gd name="T65" fmla="*/ 5 h 25"/>
                <a:gd name="T66" fmla="*/ 4 w 20"/>
                <a:gd name="T67" fmla="*/ 6 h 25"/>
                <a:gd name="T68" fmla="*/ 3 w 20"/>
                <a:gd name="T69" fmla="*/ 6 h 25"/>
                <a:gd name="T70" fmla="*/ 3 w 20"/>
                <a:gd name="T71" fmla="*/ 8 h 25"/>
                <a:gd name="T72" fmla="*/ 2 w 20"/>
                <a:gd name="T73" fmla="*/ 8 h 25"/>
                <a:gd name="T74" fmla="*/ 4 w 20"/>
                <a:gd name="T75" fmla="*/ 0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20"/>
                <a:gd name="T115" fmla="*/ 0 h 25"/>
                <a:gd name="T116" fmla="*/ 20 w 20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20" h="25">
                  <a:moveTo>
                    <a:pt x="4" y="0"/>
                  </a:moveTo>
                  <a:lnTo>
                    <a:pt x="20" y="0"/>
                  </a:lnTo>
                  <a:lnTo>
                    <a:pt x="18" y="8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9" y="21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9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3"/>
                  </a:lnTo>
                  <a:lnTo>
                    <a:pt x="5" y="5"/>
                  </a:lnTo>
                  <a:lnTo>
                    <a:pt x="4" y="5"/>
                  </a:lnTo>
                  <a:lnTo>
                    <a:pt x="4" y="6"/>
                  </a:lnTo>
                  <a:lnTo>
                    <a:pt x="3" y="6"/>
                  </a:lnTo>
                  <a:lnTo>
                    <a:pt x="3" y="8"/>
                  </a:lnTo>
                  <a:lnTo>
                    <a:pt x="2" y="8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2" name="Freeform 21"/>
            <xdr:cNvSpPr>
              <a:spLocks noEditPoints="1"/>
            </xdr:cNvSpPr>
          </xdr:nvSpPr>
          <xdr:spPr bwMode="auto">
            <a:xfrm>
              <a:off x="368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6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19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0 w 21"/>
                <a:gd name="T31" fmla="*/ 9 h 25"/>
                <a:gd name="T32" fmla="*/ 18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8 w 21"/>
                <a:gd name="T39" fmla="*/ 22 h 25"/>
                <a:gd name="T40" fmla="*/ 19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1 w 21"/>
                <a:gd name="T51" fmla="*/ 12 h 25"/>
                <a:gd name="T52" fmla="*/ 13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3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2"/>
                  </a:lnTo>
                  <a:lnTo>
                    <a:pt x="20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19" y="11"/>
                  </a:lnTo>
                  <a:lnTo>
                    <a:pt x="18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8" y="22"/>
                  </a:lnTo>
                  <a:lnTo>
                    <a:pt x="18" y="24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3" y="11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3" name="Freeform 22"/>
            <xdr:cNvSpPr>
              <a:spLocks/>
            </xdr:cNvSpPr>
          </xdr:nvSpPr>
          <xdr:spPr bwMode="auto">
            <a:xfrm>
              <a:off x="392" y="156"/>
              <a:ext cx="22" cy="25"/>
            </a:xfrm>
            <a:custGeom>
              <a:avLst/>
              <a:gdLst>
                <a:gd name="T0" fmla="*/ 22 w 22"/>
                <a:gd name="T1" fmla="*/ 0 h 25"/>
                <a:gd name="T2" fmla="*/ 20 w 22"/>
                <a:gd name="T3" fmla="*/ 2 h 25"/>
                <a:gd name="T4" fmla="*/ 19 w 22"/>
                <a:gd name="T5" fmla="*/ 5 h 25"/>
                <a:gd name="T6" fmla="*/ 18 w 22"/>
                <a:gd name="T7" fmla="*/ 6 h 25"/>
                <a:gd name="T8" fmla="*/ 15 w 22"/>
                <a:gd name="T9" fmla="*/ 18 h 25"/>
                <a:gd name="T10" fmla="*/ 14 w 22"/>
                <a:gd name="T11" fmla="*/ 21 h 25"/>
                <a:gd name="T12" fmla="*/ 12 w 22"/>
                <a:gd name="T13" fmla="*/ 24 h 25"/>
                <a:gd name="T14" fmla="*/ 10 w 22"/>
                <a:gd name="T15" fmla="*/ 24 h 25"/>
                <a:gd name="T16" fmla="*/ 8 w 22"/>
                <a:gd name="T17" fmla="*/ 25 h 25"/>
                <a:gd name="T18" fmla="*/ 7 w 22"/>
                <a:gd name="T19" fmla="*/ 25 h 25"/>
                <a:gd name="T20" fmla="*/ 5 w 22"/>
                <a:gd name="T21" fmla="*/ 25 h 25"/>
                <a:gd name="T22" fmla="*/ 3 w 22"/>
                <a:gd name="T23" fmla="*/ 24 h 25"/>
                <a:gd name="T24" fmla="*/ 1 w 22"/>
                <a:gd name="T25" fmla="*/ 24 h 25"/>
                <a:gd name="T26" fmla="*/ 1 w 22"/>
                <a:gd name="T27" fmla="*/ 22 h 25"/>
                <a:gd name="T28" fmla="*/ 0 w 22"/>
                <a:gd name="T29" fmla="*/ 19 h 25"/>
                <a:gd name="T30" fmla="*/ 1 w 22"/>
                <a:gd name="T31" fmla="*/ 16 h 25"/>
                <a:gd name="T32" fmla="*/ 3 w 22"/>
                <a:gd name="T33" fmla="*/ 5 h 25"/>
                <a:gd name="T34" fmla="*/ 2 w 22"/>
                <a:gd name="T35" fmla="*/ 2 h 25"/>
                <a:gd name="T36" fmla="*/ 1 w 22"/>
                <a:gd name="T37" fmla="*/ 2 h 25"/>
                <a:gd name="T38" fmla="*/ 11 w 22"/>
                <a:gd name="T39" fmla="*/ 0 h 25"/>
                <a:gd name="T40" fmla="*/ 10 w 22"/>
                <a:gd name="T41" fmla="*/ 2 h 25"/>
                <a:gd name="T42" fmla="*/ 8 w 22"/>
                <a:gd name="T43" fmla="*/ 3 h 25"/>
                <a:gd name="T44" fmla="*/ 8 w 22"/>
                <a:gd name="T45" fmla="*/ 5 h 25"/>
                <a:gd name="T46" fmla="*/ 5 w 22"/>
                <a:gd name="T47" fmla="*/ 16 h 25"/>
                <a:gd name="T48" fmla="*/ 4 w 22"/>
                <a:gd name="T49" fmla="*/ 18 h 25"/>
                <a:gd name="T50" fmla="*/ 4 w 22"/>
                <a:gd name="T51" fmla="*/ 21 h 25"/>
                <a:gd name="T52" fmla="*/ 6 w 22"/>
                <a:gd name="T53" fmla="*/ 24 h 25"/>
                <a:gd name="T54" fmla="*/ 8 w 22"/>
                <a:gd name="T55" fmla="*/ 24 h 25"/>
                <a:gd name="T56" fmla="*/ 9 w 22"/>
                <a:gd name="T57" fmla="*/ 24 h 25"/>
                <a:gd name="T58" fmla="*/ 10 w 22"/>
                <a:gd name="T59" fmla="*/ 22 h 25"/>
                <a:gd name="T60" fmla="*/ 12 w 22"/>
                <a:gd name="T61" fmla="*/ 21 h 25"/>
                <a:gd name="T62" fmla="*/ 13 w 22"/>
                <a:gd name="T63" fmla="*/ 19 h 25"/>
                <a:gd name="T64" fmla="*/ 14 w 22"/>
                <a:gd name="T65" fmla="*/ 18 h 25"/>
                <a:gd name="T66" fmla="*/ 17 w 22"/>
                <a:gd name="T67" fmla="*/ 6 h 25"/>
                <a:gd name="T68" fmla="*/ 17 w 22"/>
                <a:gd name="T69" fmla="*/ 3 h 25"/>
                <a:gd name="T70" fmla="*/ 15 w 22"/>
                <a:gd name="T71" fmla="*/ 2 h 25"/>
                <a:gd name="T72" fmla="*/ 15 w 22"/>
                <a:gd name="T73" fmla="*/ 0 h 25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w 22"/>
                <a:gd name="T112" fmla="*/ 0 h 25"/>
                <a:gd name="T113" fmla="*/ 22 w 22"/>
                <a:gd name="T114" fmla="*/ 25 h 25"/>
              </a:gdLst>
              <a:ahLst/>
              <a:cxnLst>
                <a:cxn ang="T74">
                  <a:pos x="T0" y="T1"/>
                </a:cxn>
                <a:cxn ang="T75">
                  <a:pos x="T2" y="T3"/>
                </a:cxn>
                <a:cxn ang="T76">
                  <a:pos x="T4" y="T5"/>
                </a:cxn>
                <a:cxn ang="T77">
                  <a:pos x="T6" y="T7"/>
                </a:cxn>
                <a:cxn ang="T78">
                  <a:pos x="T8" y="T9"/>
                </a:cxn>
                <a:cxn ang="T79">
                  <a:pos x="T10" y="T11"/>
                </a:cxn>
                <a:cxn ang="T80">
                  <a:pos x="T12" y="T13"/>
                </a:cxn>
                <a:cxn ang="T81">
                  <a:pos x="T14" y="T15"/>
                </a:cxn>
                <a:cxn ang="T82">
                  <a:pos x="T16" y="T17"/>
                </a:cxn>
                <a:cxn ang="T83">
                  <a:pos x="T18" y="T19"/>
                </a:cxn>
                <a:cxn ang="T84">
                  <a:pos x="T20" y="T21"/>
                </a:cxn>
                <a:cxn ang="T85">
                  <a:pos x="T22" y="T23"/>
                </a:cxn>
                <a:cxn ang="T86">
                  <a:pos x="T24" y="T25"/>
                </a:cxn>
                <a:cxn ang="T87">
                  <a:pos x="T26" y="T27"/>
                </a:cxn>
                <a:cxn ang="T88">
                  <a:pos x="T28" y="T29"/>
                </a:cxn>
                <a:cxn ang="T89">
                  <a:pos x="T30" y="T31"/>
                </a:cxn>
                <a:cxn ang="T90">
                  <a:pos x="T32" y="T33"/>
                </a:cxn>
                <a:cxn ang="T91">
                  <a:pos x="T34" y="T35"/>
                </a:cxn>
                <a:cxn ang="T92">
                  <a:pos x="T36" y="T37"/>
                </a:cxn>
                <a:cxn ang="T93">
                  <a:pos x="T38" y="T39"/>
                </a:cxn>
                <a:cxn ang="T94">
                  <a:pos x="T40" y="T41"/>
                </a:cxn>
                <a:cxn ang="T95">
                  <a:pos x="T42" y="T43"/>
                </a:cxn>
                <a:cxn ang="T96">
                  <a:pos x="T44" y="T45"/>
                </a:cxn>
                <a:cxn ang="T97">
                  <a:pos x="T46" y="T47"/>
                </a:cxn>
                <a:cxn ang="T98">
                  <a:pos x="T48" y="T49"/>
                </a:cxn>
                <a:cxn ang="T99">
                  <a:pos x="T50" y="T51"/>
                </a:cxn>
                <a:cxn ang="T100">
                  <a:pos x="T52" y="T53"/>
                </a:cxn>
                <a:cxn ang="T101">
                  <a:pos x="T54" y="T55"/>
                </a:cxn>
                <a:cxn ang="T102">
                  <a:pos x="T56" y="T57"/>
                </a:cxn>
                <a:cxn ang="T103">
                  <a:pos x="T58" y="T59"/>
                </a:cxn>
                <a:cxn ang="T104">
                  <a:pos x="T60" y="T61"/>
                </a:cxn>
                <a:cxn ang="T105">
                  <a:pos x="T62" y="T63"/>
                </a:cxn>
                <a:cxn ang="T106">
                  <a:pos x="T64" y="T65"/>
                </a:cxn>
                <a:cxn ang="T107">
                  <a:pos x="T66" y="T67"/>
                </a:cxn>
                <a:cxn ang="T108">
                  <a:pos x="T68" y="T69"/>
                </a:cxn>
                <a:cxn ang="T109">
                  <a:pos x="T70" y="T71"/>
                </a:cxn>
                <a:cxn ang="T110">
                  <a:pos x="T72" y="T73"/>
                </a:cxn>
              </a:cxnLst>
              <a:rect l="T111" t="T112" r="T113" b="T114"/>
              <a:pathLst>
                <a:path w="22" h="25">
                  <a:moveTo>
                    <a:pt x="15" y="0"/>
                  </a:moveTo>
                  <a:lnTo>
                    <a:pt x="22" y="0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3"/>
                  </a:lnTo>
                  <a:lnTo>
                    <a:pt x="19" y="5"/>
                  </a:lnTo>
                  <a:lnTo>
                    <a:pt x="18" y="5"/>
                  </a:lnTo>
                  <a:lnTo>
                    <a:pt x="18" y="6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4" y="19"/>
                  </a:lnTo>
                  <a:lnTo>
                    <a:pt x="14" y="21"/>
                  </a:lnTo>
                  <a:lnTo>
                    <a:pt x="13" y="22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4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1" y="24"/>
                  </a:lnTo>
                  <a:lnTo>
                    <a:pt x="1" y="22"/>
                  </a:lnTo>
                  <a:lnTo>
                    <a:pt x="0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1" y="16"/>
                  </a:lnTo>
                  <a:lnTo>
                    <a:pt x="3" y="6"/>
                  </a:lnTo>
                  <a:lnTo>
                    <a:pt x="3" y="5"/>
                  </a:lnTo>
                  <a:lnTo>
                    <a:pt x="3" y="3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0"/>
                  </a:lnTo>
                  <a:lnTo>
                    <a:pt x="11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2"/>
                  </a:lnTo>
                  <a:lnTo>
                    <a:pt x="8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5" y="16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2"/>
                  </a:lnTo>
                  <a:lnTo>
                    <a:pt x="11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4" y="19"/>
                  </a:lnTo>
                  <a:lnTo>
                    <a:pt x="14" y="18"/>
                  </a:lnTo>
                  <a:lnTo>
                    <a:pt x="15" y="16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4" name="Freeform 23"/>
            <xdr:cNvSpPr>
              <a:spLocks/>
            </xdr:cNvSpPr>
          </xdr:nvSpPr>
          <xdr:spPr bwMode="auto">
            <a:xfrm>
              <a:off x="413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5" name="Freeform 24"/>
            <xdr:cNvSpPr>
              <a:spLocks/>
            </xdr:cNvSpPr>
          </xdr:nvSpPr>
          <xdr:spPr bwMode="auto">
            <a:xfrm>
              <a:off x="434" y="156"/>
              <a:ext cx="20" cy="25"/>
            </a:xfrm>
            <a:custGeom>
              <a:avLst/>
              <a:gdLst>
                <a:gd name="T0" fmla="*/ 18 w 20"/>
                <a:gd name="T1" fmla="*/ 9 h 25"/>
                <a:gd name="T2" fmla="*/ 17 w 20"/>
                <a:gd name="T3" fmla="*/ 8 h 25"/>
                <a:gd name="T4" fmla="*/ 16 w 20"/>
                <a:gd name="T5" fmla="*/ 5 h 25"/>
                <a:gd name="T6" fmla="*/ 15 w 20"/>
                <a:gd name="T7" fmla="*/ 3 h 25"/>
                <a:gd name="T8" fmla="*/ 14 w 20"/>
                <a:gd name="T9" fmla="*/ 2 h 25"/>
                <a:gd name="T10" fmla="*/ 12 w 20"/>
                <a:gd name="T11" fmla="*/ 2 h 25"/>
                <a:gd name="T12" fmla="*/ 11 w 20"/>
                <a:gd name="T13" fmla="*/ 3 h 25"/>
                <a:gd name="T14" fmla="*/ 9 w 20"/>
                <a:gd name="T15" fmla="*/ 3 h 25"/>
                <a:gd name="T16" fmla="*/ 8 w 20"/>
                <a:gd name="T17" fmla="*/ 5 h 25"/>
                <a:gd name="T18" fmla="*/ 8 w 20"/>
                <a:gd name="T19" fmla="*/ 6 h 25"/>
                <a:gd name="T20" fmla="*/ 6 w 20"/>
                <a:gd name="T21" fmla="*/ 8 h 25"/>
                <a:gd name="T22" fmla="*/ 5 w 20"/>
                <a:gd name="T23" fmla="*/ 9 h 25"/>
                <a:gd name="T24" fmla="*/ 4 w 20"/>
                <a:gd name="T25" fmla="*/ 12 h 25"/>
                <a:gd name="T26" fmla="*/ 4 w 20"/>
                <a:gd name="T27" fmla="*/ 15 h 25"/>
                <a:gd name="T28" fmla="*/ 4 w 20"/>
                <a:gd name="T29" fmla="*/ 18 h 25"/>
                <a:gd name="T30" fmla="*/ 4 w 20"/>
                <a:gd name="T31" fmla="*/ 21 h 25"/>
                <a:gd name="T32" fmla="*/ 6 w 20"/>
                <a:gd name="T33" fmla="*/ 22 h 25"/>
                <a:gd name="T34" fmla="*/ 8 w 20"/>
                <a:gd name="T35" fmla="*/ 24 h 25"/>
                <a:gd name="T36" fmla="*/ 9 w 20"/>
                <a:gd name="T37" fmla="*/ 24 h 25"/>
                <a:gd name="T38" fmla="*/ 11 w 20"/>
                <a:gd name="T39" fmla="*/ 24 h 25"/>
                <a:gd name="T40" fmla="*/ 13 w 20"/>
                <a:gd name="T41" fmla="*/ 22 h 25"/>
                <a:gd name="T42" fmla="*/ 14 w 20"/>
                <a:gd name="T43" fmla="*/ 21 h 25"/>
                <a:gd name="T44" fmla="*/ 15 w 20"/>
                <a:gd name="T45" fmla="*/ 19 h 25"/>
                <a:gd name="T46" fmla="*/ 15 w 20"/>
                <a:gd name="T47" fmla="*/ 21 h 25"/>
                <a:gd name="T48" fmla="*/ 14 w 20"/>
                <a:gd name="T49" fmla="*/ 22 h 25"/>
                <a:gd name="T50" fmla="*/ 13 w 20"/>
                <a:gd name="T51" fmla="*/ 24 h 25"/>
                <a:gd name="T52" fmla="*/ 12 w 20"/>
                <a:gd name="T53" fmla="*/ 25 h 25"/>
                <a:gd name="T54" fmla="*/ 10 w 20"/>
                <a:gd name="T55" fmla="*/ 25 h 25"/>
                <a:gd name="T56" fmla="*/ 8 w 20"/>
                <a:gd name="T57" fmla="*/ 25 h 25"/>
                <a:gd name="T58" fmla="*/ 7 w 20"/>
                <a:gd name="T59" fmla="*/ 25 h 25"/>
                <a:gd name="T60" fmla="*/ 5 w 20"/>
                <a:gd name="T61" fmla="*/ 25 h 25"/>
                <a:gd name="T62" fmla="*/ 4 w 20"/>
                <a:gd name="T63" fmla="*/ 24 h 25"/>
                <a:gd name="T64" fmla="*/ 2 w 20"/>
                <a:gd name="T65" fmla="*/ 22 h 25"/>
                <a:gd name="T66" fmla="*/ 1 w 20"/>
                <a:gd name="T67" fmla="*/ 21 h 25"/>
                <a:gd name="T68" fmla="*/ 1 w 20"/>
                <a:gd name="T69" fmla="*/ 19 h 25"/>
                <a:gd name="T70" fmla="*/ 0 w 20"/>
                <a:gd name="T71" fmla="*/ 18 h 25"/>
                <a:gd name="T72" fmla="*/ 0 w 20"/>
                <a:gd name="T73" fmla="*/ 15 h 25"/>
                <a:gd name="T74" fmla="*/ 1 w 20"/>
                <a:gd name="T75" fmla="*/ 12 h 25"/>
                <a:gd name="T76" fmla="*/ 1 w 20"/>
                <a:gd name="T77" fmla="*/ 9 h 25"/>
                <a:gd name="T78" fmla="*/ 2 w 20"/>
                <a:gd name="T79" fmla="*/ 8 h 25"/>
                <a:gd name="T80" fmla="*/ 4 w 20"/>
                <a:gd name="T81" fmla="*/ 5 h 25"/>
                <a:gd name="T82" fmla="*/ 6 w 20"/>
                <a:gd name="T83" fmla="*/ 3 h 25"/>
                <a:gd name="T84" fmla="*/ 8 w 20"/>
                <a:gd name="T85" fmla="*/ 3 h 25"/>
                <a:gd name="T86" fmla="*/ 9 w 20"/>
                <a:gd name="T87" fmla="*/ 2 h 25"/>
                <a:gd name="T88" fmla="*/ 10 w 20"/>
                <a:gd name="T89" fmla="*/ 0 h 25"/>
                <a:gd name="T90" fmla="*/ 12 w 20"/>
                <a:gd name="T91" fmla="*/ 0 h 25"/>
                <a:gd name="T92" fmla="*/ 14 w 20"/>
                <a:gd name="T93" fmla="*/ 0 h 25"/>
                <a:gd name="T94" fmla="*/ 15 w 20"/>
                <a:gd name="T95" fmla="*/ 0 h 25"/>
                <a:gd name="T96" fmla="*/ 17 w 20"/>
                <a:gd name="T97" fmla="*/ 2 h 25"/>
                <a:gd name="T98" fmla="*/ 18 w 20"/>
                <a:gd name="T99" fmla="*/ 0 h 25"/>
                <a:gd name="T100" fmla="*/ 20 w 20"/>
                <a:gd name="T101" fmla="*/ 0 h 25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w 20"/>
                <a:gd name="T154" fmla="*/ 0 h 25"/>
                <a:gd name="T155" fmla="*/ 20 w 20"/>
                <a:gd name="T156" fmla="*/ 25 h 25"/>
              </a:gdLst>
              <a:ahLst/>
              <a:cxnLst>
                <a:cxn ang="T102">
                  <a:pos x="T0" y="T1"/>
                </a:cxn>
                <a:cxn ang="T103">
                  <a:pos x="T2" y="T3"/>
                </a:cxn>
                <a:cxn ang="T104">
                  <a:pos x="T4" y="T5"/>
                </a:cxn>
                <a:cxn ang="T105">
                  <a:pos x="T6" y="T7"/>
                </a:cxn>
                <a:cxn ang="T106">
                  <a:pos x="T8" y="T9"/>
                </a:cxn>
                <a:cxn ang="T107">
                  <a:pos x="T10" y="T11"/>
                </a:cxn>
                <a:cxn ang="T108">
                  <a:pos x="T12" y="T13"/>
                </a:cxn>
                <a:cxn ang="T109">
                  <a:pos x="T14" y="T15"/>
                </a:cxn>
                <a:cxn ang="T110">
                  <a:pos x="T16" y="T17"/>
                </a:cxn>
                <a:cxn ang="T111">
                  <a:pos x="T18" y="T19"/>
                </a:cxn>
                <a:cxn ang="T112">
                  <a:pos x="T20" y="T21"/>
                </a:cxn>
                <a:cxn ang="T113">
                  <a:pos x="T22" y="T23"/>
                </a:cxn>
                <a:cxn ang="T114">
                  <a:pos x="T24" y="T25"/>
                </a:cxn>
                <a:cxn ang="T115">
                  <a:pos x="T26" y="T27"/>
                </a:cxn>
                <a:cxn ang="T116">
                  <a:pos x="T28" y="T29"/>
                </a:cxn>
                <a:cxn ang="T117">
                  <a:pos x="T30" y="T31"/>
                </a:cxn>
                <a:cxn ang="T118">
                  <a:pos x="T32" y="T33"/>
                </a:cxn>
                <a:cxn ang="T119">
                  <a:pos x="T34" y="T35"/>
                </a:cxn>
                <a:cxn ang="T120">
                  <a:pos x="T36" y="T37"/>
                </a:cxn>
                <a:cxn ang="T121">
                  <a:pos x="T38" y="T39"/>
                </a:cxn>
                <a:cxn ang="T122">
                  <a:pos x="T40" y="T41"/>
                </a:cxn>
                <a:cxn ang="T123">
                  <a:pos x="T42" y="T43"/>
                </a:cxn>
                <a:cxn ang="T124">
                  <a:pos x="T44" y="T45"/>
                </a:cxn>
                <a:cxn ang="T125">
                  <a:pos x="T46" y="T47"/>
                </a:cxn>
                <a:cxn ang="T126">
                  <a:pos x="T48" y="T49"/>
                </a:cxn>
                <a:cxn ang="T127">
                  <a:pos x="T50" y="T51"/>
                </a:cxn>
                <a:cxn ang="T128">
                  <a:pos x="T52" y="T53"/>
                </a:cxn>
                <a:cxn ang="T129">
                  <a:pos x="T54" y="T55"/>
                </a:cxn>
                <a:cxn ang="T130">
                  <a:pos x="T56" y="T57"/>
                </a:cxn>
                <a:cxn ang="T131">
                  <a:pos x="T58" y="T59"/>
                </a:cxn>
                <a:cxn ang="T132">
                  <a:pos x="T60" y="T61"/>
                </a:cxn>
                <a:cxn ang="T133">
                  <a:pos x="T62" y="T63"/>
                </a:cxn>
                <a:cxn ang="T134">
                  <a:pos x="T64" y="T65"/>
                </a:cxn>
                <a:cxn ang="T135">
                  <a:pos x="T66" y="T67"/>
                </a:cxn>
                <a:cxn ang="T136">
                  <a:pos x="T68" y="T69"/>
                </a:cxn>
                <a:cxn ang="T137">
                  <a:pos x="T70" y="T71"/>
                </a:cxn>
                <a:cxn ang="T138">
                  <a:pos x="T72" y="T73"/>
                </a:cxn>
                <a:cxn ang="T139">
                  <a:pos x="T74" y="T75"/>
                </a:cxn>
                <a:cxn ang="T140">
                  <a:pos x="T76" y="T77"/>
                </a:cxn>
                <a:cxn ang="T141">
                  <a:pos x="T78" y="T79"/>
                </a:cxn>
                <a:cxn ang="T142">
                  <a:pos x="T80" y="T81"/>
                </a:cxn>
                <a:cxn ang="T143">
                  <a:pos x="T82" y="T83"/>
                </a:cxn>
                <a:cxn ang="T144">
                  <a:pos x="T84" y="T85"/>
                </a:cxn>
                <a:cxn ang="T145">
                  <a:pos x="T86" y="T87"/>
                </a:cxn>
                <a:cxn ang="T146">
                  <a:pos x="T88" y="T89"/>
                </a:cxn>
                <a:cxn ang="T147">
                  <a:pos x="T90" y="T91"/>
                </a:cxn>
                <a:cxn ang="T148">
                  <a:pos x="T92" y="T93"/>
                </a:cxn>
                <a:cxn ang="T149">
                  <a:pos x="T94" y="T95"/>
                </a:cxn>
                <a:cxn ang="T150">
                  <a:pos x="T96" y="T97"/>
                </a:cxn>
                <a:cxn ang="T151">
                  <a:pos x="T98" y="T99"/>
                </a:cxn>
                <a:cxn ang="T152">
                  <a:pos x="T100" y="T101"/>
                </a:cxn>
              </a:cxnLst>
              <a:rect l="T153" t="T154" r="T155" b="T156"/>
              <a:pathLst>
                <a:path w="20" h="25">
                  <a:moveTo>
                    <a:pt x="20" y="0"/>
                  </a:moveTo>
                  <a:lnTo>
                    <a:pt x="18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2" y="2"/>
                  </a:lnTo>
                  <a:lnTo>
                    <a:pt x="11" y="2"/>
                  </a:lnTo>
                  <a:lnTo>
                    <a:pt x="11" y="3"/>
                  </a:lnTo>
                  <a:lnTo>
                    <a:pt x="10" y="3"/>
                  </a:lnTo>
                  <a:lnTo>
                    <a:pt x="9" y="3"/>
                  </a:lnTo>
                  <a:lnTo>
                    <a:pt x="9" y="5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9"/>
                  </a:lnTo>
                  <a:lnTo>
                    <a:pt x="5" y="11"/>
                  </a:lnTo>
                  <a:lnTo>
                    <a:pt x="4" y="12"/>
                  </a:lnTo>
                  <a:lnTo>
                    <a:pt x="4" y="13"/>
                  </a:lnTo>
                  <a:lnTo>
                    <a:pt x="4" y="15"/>
                  </a:lnTo>
                  <a:lnTo>
                    <a:pt x="4" y="16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6" y="22"/>
                  </a:lnTo>
                  <a:lnTo>
                    <a:pt x="7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3" y="22"/>
                  </a:lnTo>
                  <a:lnTo>
                    <a:pt x="13" y="21"/>
                  </a:lnTo>
                  <a:lnTo>
                    <a:pt x="14" y="21"/>
                  </a:lnTo>
                  <a:lnTo>
                    <a:pt x="15" y="21"/>
                  </a:lnTo>
                  <a:lnTo>
                    <a:pt x="15" y="19"/>
                  </a:lnTo>
                  <a:lnTo>
                    <a:pt x="16" y="19"/>
                  </a:lnTo>
                  <a:lnTo>
                    <a:pt x="15" y="21"/>
                  </a:lnTo>
                  <a:lnTo>
                    <a:pt x="15" y="22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2" y="25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1" y="19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1" y="9"/>
                  </a:lnTo>
                  <a:lnTo>
                    <a:pt x="1" y="8"/>
                  </a:lnTo>
                  <a:lnTo>
                    <a:pt x="2" y="8"/>
                  </a:lnTo>
                  <a:lnTo>
                    <a:pt x="3" y="6"/>
                  </a:lnTo>
                  <a:lnTo>
                    <a:pt x="4" y="5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9" y="2"/>
                  </a:lnTo>
                  <a:lnTo>
                    <a:pt x="10" y="2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8" y="2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6" name="Freeform 25"/>
            <xdr:cNvSpPr>
              <a:spLocks/>
            </xdr:cNvSpPr>
          </xdr:nvSpPr>
          <xdr:spPr bwMode="auto">
            <a:xfrm>
              <a:off x="451" y="156"/>
              <a:ext cx="16" cy="25"/>
            </a:xfrm>
            <a:custGeom>
              <a:avLst/>
              <a:gdLst>
                <a:gd name="T0" fmla="*/ 5 w 16"/>
                <a:gd name="T1" fmla="*/ 2 h 25"/>
                <a:gd name="T2" fmla="*/ 6 w 16"/>
                <a:gd name="T3" fmla="*/ 0 h 25"/>
                <a:gd name="T4" fmla="*/ 16 w 16"/>
                <a:gd name="T5" fmla="*/ 0 h 25"/>
                <a:gd name="T6" fmla="*/ 16 w 16"/>
                <a:gd name="T7" fmla="*/ 2 h 25"/>
                <a:gd name="T8" fmla="*/ 15 w 16"/>
                <a:gd name="T9" fmla="*/ 2 h 25"/>
                <a:gd name="T10" fmla="*/ 14 w 16"/>
                <a:gd name="T11" fmla="*/ 2 h 25"/>
                <a:gd name="T12" fmla="*/ 13 w 16"/>
                <a:gd name="T13" fmla="*/ 3 h 25"/>
                <a:gd name="T14" fmla="*/ 12 w 16"/>
                <a:gd name="T15" fmla="*/ 5 h 25"/>
                <a:gd name="T16" fmla="*/ 8 w 16"/>
                <a:gd name="T17" fmla="*/ 21 h 25"/>
                <a:gd name="T18" fmla="*/ 8 w 16"/>
                <a:gd name="T19" fmla="*/ 22 h 25"/>
                <a:gd name="T20" fmla="*/ 8 w 16"/>
                <a:gd name="T21" fmla="*/ 24 h 25"/>
                <a:gd name="T22" fmla="*/ 9 w 16"/>
                <a:gd name="T23" fmla="*/ 24 h 25"/>
                <a:gd name="T24" fmla="*/ 10 w 16"/>
                <a:gd name="T25" fmla="*/ 24 h 25"/>
                <a:gd name="T26" fmla="*/ 11 w 16"/>
                <a:gd name="T27" fmla="*/ 24 h 25"/>
                <a:gd name="T28" fmla="*/ 11 w 16"/>
                <a:gd name="T29" fmla="*/ 25 h 25"/>
                <a:gd name="T30" fmla="*/ 0 w 16"/>
                <a:gd name="T31" fmla="*/ 25 h 25"/>
                <a:gd name="T32" fmla="*/ 0 w 16"/>
                <a:gd name="T33" fmla="*/ 24 h 25"/>
                <a:gd name="T34" fmla="*/ 1 w 16"/>
                <a:gd name="T35" fmla="*/ 24 h 25"/>
                <a:gd name="T36" fmla="*/ 2 w 16"/>
                <a:gd name="T37" fmla="*/ 24 h 25"/>
                <a:gd name="T38" fmla="*/ 3 w 16"/>
                <a:gd name="T39" fmla="*/ 24 h 25"/>
                <a:gd name="T40" fmla="*/ 4 w 16"/>
                <a:gd name="T41" fmla="*/ 22 h 25"/>
                <a:gd name="T42" fmla="*/ 4 w 16"/>
                <a:gd name="T43" fmla="*/ 21 h 25"/>
                <a:gd name="T44" fmla="*/ 8 w 16"/>
                <a:gd name="T45" fmla="*/ 5 h 25"/>
                <a:gd name="T46" fmla="*/ 8 w 16"/>
                <a:gd name="T47" fmla="*/ 3 h 25"/>
                <a:gd name="T48" fmla="*/ 8 w 16"/>
                <a:gd name="T49" fmla="*/ 2 h 25"/>
                <a:gd name="T50" fmla="*/ 7 w 16"/>
                <a:gd name="T51" fmla="*/ 2 h 25"/>
                <a:gd name="T52" fmla="*/ 6 w 16"/>
                <a:gd name="T53" fmla="*/ 2 h 25"/>
                <a:gd name="T54" fmla="*/ 5 w 16"/>
                <a:gd name="T55" fmla="*/ 2 h 25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w 16"/>
                <a:gd name="T85" fmla="*/ 0 h 25"/>
                <a:gd name="T86" fmla="*/ 16 w 16"/>
                <a:gd name="T87" fmla="*/ 25 h 25"/>
              </a:gdLst>
              <a:ahLst/>
              <a:cxnLst>
                <a:cxn ang="T56">
                  <a:pos x="T0" y="T1"/>
                </a:cxn>
                <a:cxn ang="T57">
                  <a:pos x="T2" y="T3"/>
                </a:cxn>
                <a:cxn ang="T58">
                  <a:pos x="T4" y="T5"/>
                </a:cxn>
                <a:cxn ang="T59">
                  <a:pos x="T6" y="T7"/>
                </a:cxn>
                <a:cxn ang="T60">
                  <a:pos x="T8" y="T9"/>
                </a:cxn>
                <a:cxn ang="T61">
                  <a:pos x="T10" y="T11"/>
                </a:cxn>
                <a:cxn ang="T62">
                  <a:pos x="T12" y="T13"/>
                </a:cxn>
                <a:cxn ang="T63">
                  <a:pos x="T14" y="T15"/>
                </a:cxn>
                <a:cxn ang="T64">
                  <a:pos x="T16" y="T17"/>
                </a:cxn>
                <a:cxn ang="T65">
                  <a:pos x="T18" y="T19"/>
                </a:cxn>
                <a:cxn ang="T66">
                  <a:pos x="T20" y="T21"/>
                </a:cxn>
                <a:cxn ang="T67">
                  <a:pos x="T22" y="T23"/>
                </a:cxn>
                <a:cxn ang="T68">
                  <a:pos x="T24" y="T25"/>
                </a:cxn>
                <a:cxn ang="T69">
                  <a:pos x="T26" y="T27"/>
                </a:cxn>
                <a:cxn ang="T70">
                  <a:pos x="T28" y="T29"/>
                </a:cxn>
                <a:cxn ang="T71">
                  <a:pos x="T30" y="T31"/>
                </a:cxn>
                <a:cxn ang="T72">
                  <a:pos x="T32" y="T33"/>
                </a:cxn>
                <a:cxn ang="T73">
                  <a:pos x="T34" y="T35"/>
                </a:cxn>
                <a:cxn ang="T74">
                  <a:pos x="T36" y="T37"/>
                </a:cxn>
                <a:cxn ang="T75">
                  <a:pos x="T38" y="T39"/>
                </a:cxn>
                <a:cxn ang="T76">
                  <a:pos x="T40" y="T41"/>
                </a:cxn>
                <a:cxn ang="T77">
                  <a:pos x="T42" y="T43"/>
                </a:cxn>
                <a:cxn ang="T78">
                  <a:pos x="T44" y="T45"/>
                </a:cxn>
                <a:cxn ang="T79">
                  <a:pos x="T46" y="T47"/>
                </a:cxn>
                <a:cxn ang="T80">
                  <a:pos x="T48" y="T49"/>
                </a:cxn>
                <a:cxn ang="T81">
                  <a:pos x="T50" y="T51"/>
                </a:cxn>
                <a:cxn ang="T82">
                  <a:pos x="T52" y="T53"/>
                </a:cxn>
                <a:cxn ang="T83">
                  <a:pos x="T54" y="T55"/>
                </a:cxn>
              </a:cxnLst>
              <a:rect l="T84" t="T85" r="T86" b="T87"/>
              <a:pathLst>
                <a:path w="16" h="25">
                  <a:moveTo>
                    <a:pt x="5" y="2"/>
                  </a:moveTo>
                  <a:lnTo>
                    <a:pt x="6" y="0"/>
                  </a:lnTo>
                  <a:lnTo>
                    <a:pt x="16" y="0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3"/>
                  </a:lnTo>
                  <a:lnTo>
                    <a:pt x="12" y="5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1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7" name="Freeform 26"/>
            <xdr:cNvSpPr>
              <a:spLocks noEditPoints="1"/>
            </xdr:cNvSpPr>
          </xdr:nvSpPr>
          <xdr:spPr bwMode="auto">
            <a:xfrm>
              <a:off x="465" y="156"/>
              <a:ext cx="20" cy="25"/>
            </a:xfrm>
            <a:custGeom>
              <a:avLst/>
              <a:gdLst>
                <a:gd name="T0" fmla="*/ 6 w 20"/>
                <a:gd name="T1" fmla="*/ 25 h 25"/>
                <a:gd name="T2" fmla="*/ 5 w 20"/>
                <a:gd name="T3" fmla="*/ 25 h 25"/>
                <a:gd name="T4" fmla="*/ 4 w 20"/>
                <a:gd name="T5" fmla="*/ 24 h 25"/>
                <a:gd name="T6" fmla="*/ 2 w 20"/>
                <a:gd name="T7" fmla="*/ 24 h 25"/>
                <a:gd name="T8" fmla="*/ 1 w 20"/>
                <a:gd name="T9" fmla="*/ 22 h 25"/>
                <a:gd name="T10" fmla="*/ 0 w 20"/>
                <a:gd name="T11" fmla="*/ 19 h 25"/>
                <a:gd name="T12" fmla="*/ 0 w 20"/>
                <a:gd name="T13" fmla="*/ 16 h 25"/>
                <a:gd name="T14" fmla="*/ 0 w 20"/>
                <a:gd name="T15" fmla="*/ 13 h 25"/>
                <a:gd name="T16" fmla="*/ 1 w 20"/>
                <a:gd name="T17" fmla="*/ 11 h 25"/>
                <a:gd name="T18" fmla="*/ 3 w 20"/>
                <a:gd name="T19" fmla="*/ 8 h 25"/>
                <a:gd name="T20" fmla="*/ 4 w 20"/>
                <a:gd name="T21" fmla="*/ 6 h 25"/>
                <a:gd name="T22" fmla="*/ 5 w 20"/>
                <a:gd name="T23" fmla="*/ 5 h 25"/>
                <a:gd name="T24" fmla="*/ 7 w 20"/>
                <a:gd name="T25" fmla="*/ 2 h 25"/>
                <a:gd name="T26" fmla="*/ 9 w 20"/>
                <a:gd name="T27" fmla="*/ 0 h 25"/>
                <a:gd name="T28" fmla="*/ 11 w 20"/>
                <a:gd name="T29" fmla="*/ 0 h 25"/>
                <a:gd name="T30" fmla="*/ 13 w 20"/>
                <a:gd name="T31" fmla="*/ 0 h 25"/>
                <a:gd name="T32" fmla="*/ 14 w 20"/>
                <a:gd name="T33" fmla="*/ 0 h 25"/>
                <a:gd name="T34" fmla="*/ 16 w 20"/>
                <a:gd name="T35" fmla="*/ 0 h 25"/>
                <a:gd name="T36" fmla="*/ 18 w 20"/>
                <a:gd name="T37" fmla="*/ 2 h 25"/>
                <a:gd name="T38" fmla="*/ 19 w 20"/>
                <a:gd name="T39" fmla="*/ 3 h 25"/>
                <a:gd name="T40" fmla="*/ 20 w 20"/>
                <a:gd name="T41" fmla="*/ 5 h 25"/>
                <a:gd name="T42" fmla="*/ 20 w 20"/>
                <a:gd name="T43" fmla="*/ 8 h 25"/>
                <a:gd name="T44" fmla="*/ 20 w 20"/>
                <a:gd name="T45" fmla="*/ 11 h 25"/>
                <a:gd name="T46" fmla="*/ 20 w 20"/>
                <a:gd name="T47" fmla="*/ 13 h 25"/>
                <a:gd name="T48" fmla="*/ 19 w 20"/>
                <a:gd name="T49" fmla="*/ 15 h 25"/>
                <a:gd name="T50" fmla="*/ 17 w 20"/>
                <a:gd name="T51" fmla="*/ 18 h 25"/>
                <a:gd name="T52" fmla="*/ 16 w 20"/>
                <a:gd name="T53" fmla="*/ 21 h 25"/>
                <a:gd name="T54" fmla="*/ 14 w 20"/>
                <a:gd name="T55" fmla="*/ 22 h 25"/>
                <a:gd name="T56" fmla="*/ 13 w 20"/>
                <a:gd name="T57" fmla="*/ 24 h 25"/>
                <a:gd name="T58" fmla="*/ 11 w 20"/>
                <a:gd name="T59" fmla="*/ 24 h 25"/>
                <a:gd name="T60" fmla="*/ 9 w 20"/>
                <a:gd name="T61" fmla="*/ 25 h 25"/>
                <a:gd name="T62" fmla="*/ 7 w 20"/>
                <a:gd name="T63" fmla="*/ 25 h 25"/>
                <a:gd name="T64" fmla="*/ 13 w 20"/>
                <a:gd name="T65" fmla="*/ 0 h 25"/>
                <a:gd name="T66" fmla="*/ 11 w 20"/>
                <a:gd name="T67" fmla="*/ 2 h 25"/>
                <a:gd name="T68" fmla="*/ 9 w 20"/>
                <a:gd name="T69" fmla="*/ 3 h 25"/>
                <a:gd name="T70" fmla="*/ 8 w 20"/>
                <a:gd name="T71" fmla="*/ 6 h 25"/>
                <a:gd name="T72" fmla="*/ 7 w 20"/>
                <a:gd name="T73" fmla="*/ 8 h 25"/>
                <a:gd name="T74" fmla="*/ 6 w 20"/>
                <a:gd name="T75" fmla="*/ 9 h 25"/>
                <a:gd name="T76" fmla="*/ 5 w 20"/>
                <a:gd name="T77" fmla="*/ 12 h 25"/>
                <a:gd name="T78" fmla="*/ 5 w 20"/>
                <a:gd name="T79" fmla="*/ 15 h 25"/>
                <a:gd name="T80" fmla="*/ 5 w 20"/>
                <a:gd name="T81" fmla="*/ 16 h 25"/>
                <a:gd name="T82" fmla="*/ 5 w 20"/>
                <a:gd name="T83" fmla="*/ 19 h 25"/>
                <a:gd name="T84" fmla="*/ 5 w 20"/>
                <a:gd name="T85" fmla="*/ 22 h 25"/>
                <a:gd name="T86" fmla="*/ 6 w 20"/>
                <a:gd name="T87" fmla="*/ 24 h 25"/>
                <a:gd name="T88" fmla="*/ 8 w 20"/>
                <a:gd name="T89" fmla="*/ 24 h 25"/>
                <a:gd name="T90" fmla="*/ 10 w 20"/>
                <a:gd name="T91" fmla="*/ 24 h 25"/>
                <a:gd name="T92" fmla="*/ 12 w 20"/>
                <a:gd name="T93" fmla="*/ 22 h 25"/>
                <a:gd name="T94" fmla="*/ 13 w 20"/>
                <a:gd name="T95" fmla="*/ 21 h 25"/>
                <a:gd name="T96" fmla="*/ 13 w 20"/>
                <a:gd name="T97" fmla="*/ 18 h 25"/>
                <a:gd name="T98" fmla="*/ 14 w 20"/>
                <a:gd name="T99" fmla="*/ 16 h 25"/>
                <a:gd name="T100" fmla="*/ 15 w 20"/>
                <a:gd name="T101" fmla="*/ 13 h 25"/>
                <a:gd name="T102" fmla="*/ 16 w 20"/>
                <a:gd name="T103" fmla="*/ 11 h 25"/>
                <a:gd name="T104" fmla="*/ 16 w 20"/>
                <a:gd name="T105" fmla="*/ 8 h 25"/>
                <a:gd name="T106" fmla="*/ 16 w 20"/>
                <a:gd name="T107" fmla="*/ 5 h 25"/>
                <a:gd name="T108" fmla="*/ 15 w 20"/>
                <a:gd name="T109" fmla="*/ 2 h 25"/>
                <a:gd name="T110" fmla="*/ 14 w 20"/>
                <a:gd name="T111" fmla="*/ 0 h 25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0"/>
                <a:gd name="T169" fmla="*/ 0 h 25"/>
                <a:gd name="T170" fmla="*/ 20 w 20"/>
                <a:gd name="T171" fmla="*/ 25 h 25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0" h="25">
                  <a:moveTo>
                    <a:pt x="7" y="25"/>
                  </a:moveTo>
                  <a:lnTo>
                    <a:pt x="6" y="25"/>
                  </a:lnTo>
                  <a:lnTo>
                    <a:pt x="5" y="25"/>
                  </a:lnTo>
                  <a:lnTo>
                    <a:pt x="4" y="25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2"/>
                  </a:lnTo>
                  <a:lnTo>
                    <a:pt x="1" y="22"/>
                  </a:lnTo>
                  <a:lnTo>
                    <a:pt x="1" y="21"/>
                  </a:lnTo>
                  <a:lnTo>
                    <a:pt x="0" y="19"/>
                  </a:lnTo>
                  <a:lnTo>
                    <a:pt x="0" y="18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lnTo>
                    <a:pt x="1" y="12"/>
                  </a:lnTo>
                  <a:lnTo>
                    <a:pt x="1" y="11"/>
                  </a:lnTo>
                  <a:lnTo>
                    <a:pt x="2" y="9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6"/>
                  </a:lnTo>
                  <a:lnTo>
                    <a:pt x="5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9" y="2"/>
                  </a:lnTo>
                  <a:lnTo>
                    <a:pt x="19" y="3"/>
                  </a:lnTo>
                  <a:lnTo>
                    <a:pt x="20" y="5"/>
                  </a:lnTo>
                  <a:lnTo>
                    <a:pt x="20" y="6"/>
                  </a:lnTo>
                  <a:lnTo>
                    <a:pt x="20" y="8"/>
                  </a:lnTo>
                  <a:lnTo>
                    <a:pt x="20" y="9"/>
                  </a:lnTo>
                  <a:lnTo>
                    <a:pt x="20" y="11"/>
                  </a:lnTo>
                  <a:lnTo>
                    <a:pt x="20" y="12"/>
                  </a:lnTo>
                  <a:lnTo>
                    <a:pt x="20" y="13"/>
                  </a:lnTo>
                  <a:lnTo>
                    <a:pt x="19" y="13"/>
                  </a:lnTo>
                  <a:lnTo>
                    <a:pt x="19" y="15"/>
                  </a:lnTo>
                  <a:lnTo>
                    <a:pt x="18" y="16"/>
                  </a:lnTo>
                  <a:lnTo>
                    <a:pt x="17" y="18"/>
                  </a:lnTo>
                  <a:lnTo>
                    <a:pt x="17" y="19"/>
                  </a:lnTo>
                  <a:lnTo>
                    <a:pt x="16" y="21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4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close/>
                  <a:moveTo>
                    <a:pt x="13" y="0"/>
                  </a:moveTo>
                  <a:lnTo>
                    <a:pt x="13" y="0"/>
                  </a:lnTo>
                  <a:lnTo>
                    <a:pt x="12" y="0"/>
                  </a:lnTo>
                  <a:lnTo>
                    <a:pt x="11" y="2"/>
                  </a:lnTo>
                  <a:lnTo>
                    <a:pt x="10" y="2"/>
                  </a:lnTo>
                  <a:lnTo>
                    <a:pt x="9" y="3"/>
                  </a:lnTo>
                  <a:lnTo>
                    <a:pt x="8" y="5"/>
                  </a:lnTo>
                  <a:lnTo>
                    <a:pt x="8" y="6"/>
                  </a:lnTo>
                  <a:lnTo>
                    <a:pt x="7" y="6"/>
                  </a:lnTo>
                  <a:lnTo>
                    <a:pt x="7" y="8"/>
                  </a:lnTo>
                  <a:lnTo>
                    <a:pt x="6" y="8"/>
                  </a:lnTo>
                  <a:lnTo>
                    <a:pt x="6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5" y="15"/>
                  </a:lnTo>
                  <a:lnTo>
                    <a:pt x="5" y="16"/>
                  </a:lnTo>
                  <a:lnTo>
                    <a:pt x="5" y="18"/>
                  </a:lnTo>
                  <a:lnTo>
                    <a:pt x="5" y="19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3" y="21"/>
                  </a:lnTo>
                  <a:lnTo>
                    <a:pt x="13" y="19"/>
                  </a:lnTo>
                  <a:lnTo>
                    <a:pt x="13" y="18"/>
                  </a:lnTo>
                  <a:lnTo>
                    <a:pt x="13" y="16"/>
                  </a:lnTo>
                  <a:lnTo>
                    <a:pt x="14" y="16"/>
                  </a:lnTo>
                  <a:lnTo>
                    <a:pt x="14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5" y="0"/>
                  </a:lnTo>
                  <a:lnTo>
                    <a:pt x="14" y="0"/>
                  </a:lnTo>
                  <a:lnTo>
                    <a:pt x="13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8" name="Freeform 27"/>
            <xdr:cNvSpPr>
              <a:spLocks/>
            </xdr:cNvSpPr>
          </xdr:nvSpPr>
          <xdr:spPr bwMode="auto">
            <a:xfrm>
              <a:off x="485" y="156"/>
              <a:ext cx="26" cy="25"/>
            </a:xfrm>
            <a:custGeom>
              <a:avLst/>
              <a:gdLst>
                <a:gd name="T0" fmla="*/ 11 w 26"/>
                <a:gd name="T1" fmla="*/ 0 h 25"/>
                <a:gd name="T2" fmla="*/ 18 w 26"/>
                <a:gd name="T3" fmla="*/ 16 h 25"/>
                <a:gd name="T4" fmla="*/ 21 w 26"/>
                <a:gd name="T5" fmla="*/ 6 h 25"/>
                <a:gd name="T6" fmla="*/ 21 w 26"/>
                <a:gd name="T7" fmla="*/ 5 h 25"/>
                <a:gd name="T8" fmla="*/ 21 w 26"/>
                <a:gd name="T9" fmla="*/ 3 h 25"/>
                <a:gd name="T10" fmla="*/ 21 w 26"/>
                <a:gd name="T11" fmla="*/ 3 h 25"/>
                <a:gd name="T12" fmla="*/ 21 w 26"/>
                <a:gd name="T13" fmla="*/ 2 h 25"/>
                <a:gd name="T14" fmla="*/ 20 w 26"/>
                <a:gd name="T15" fmla="*/ 2 h 25"/>
                <a:gd name="T16" fmla="*/ 19 w 26"/>
                <a:gd name="T17" fmla="*/ 2 h 25"/>
                <a:gd name="T18" fmla="*/ 20 w 26"/>
                <a:gd name="T19" fmla="*/ 0 h 25"/>
                <a:gd name="T20" fmla="*/ 26 w 26"/>
                <a:gd name="T21" fmla="*/ 0 h 25"/>
                <a:gd name="T22" fmla="*/ 25 w 26"/>
                <a:gd name="T23" fmla="*/ 2 h 25"/>
                <a:gd name="T24" fmla="*/ 24 w 26"/>
                <a:gd name="T25" fmla="*/ 2 h 25"/>
                <a:gd name="T26" fmla="*/ 23 w 26"/>
                <a:gd name="T27" fmla="*/ 3 h 25"/>
                <a:gd name="T28" fmla="*/ 22 w 26"/>
                <a:gd name="T29" fmla="*/ 3 h 25"/>
                <a:gd name="T30" fmla="*/ 22 w 26"/>
                <a:gd name="T31" fmla="*/ 5 h 25"/>
                <a:gd name="T32" fmla="*/ 22 w 26"/>
                <a:gd name="T33" fmla="*/ 6 h 25"/>
                <a:gd name="T34" fmla="*/ 17 w 26"/>
                <a:gd name="T35" fmla="*/ 25 h 25"/>
                <a:gd name="T36" fmla="*/ 16 w 26"/>
                <a:gd name="T37" fmla="*/ 25 h 25"/>
                <a:gd name="T38" fmla="*/ 8 w 26"/>
                <a:gd name="T39" fmla="*/ 5 h 25"/>
                <a:gd name="T40" fmla="*/ 4 w 26"/>
                <a:gd name="T41" fmla="*/ 21 h 25"/>
                <a:gd name="T42" fmla="*/ 4 w 26"/>
                <a:gd name="T43" fmla="*/ 22 h 25"/>
                <a:gd name="T44" fmla="*/ 4 w 26"/>
                <a:gd name="T45" fmla="*/ 24 h 25"/>
                <a:gd name="T46" fmla="*/ 5 w 26"/>
                <a:gd name="T47" fmla="*/ 24 h 25"/>
                <a:gd name="T48" fmla="*/ 6 w 26"/>
                <a:gd name="T49" fmla="*/ 24 h 25"/>
                <a:gd name="T50" fmla="*/ 7 w 26"/>
                <a:gd name="T51" fmla="*/ 24 h 25"/>
                <a:gd name="T52" fmla="*/ 6 w 26"/>
                <a:gd name="T53" fmla="*/ 25 h 25"/>
                <a:gd name="T54" fmla="*/ 0 w 26"/>
                <a:gd name="T55" fmla="*/ 25 h 25"/>
                <a:gd name="T56" fmla="*/ 0 w 26"/>
                <a:gd name="T57" fmla="*/ 24 h 25"/>
                <a:gd name="T58" fmla="*/ 0 w 26"/>
                <a:gd name="T59" fmla="*/ 24 h 25"/>
                <a:gd name="T60" fmla="*/ 1 w 26"/>
                <a:gd name="T61" fmla="*/ 24 h 25"/>
                <a:gd name="T62" fmla="*/ 2 w 26"/>
                <a:gd name="T63" fmla="*/ 24 h 25"/>
                <a:gd name="T64" fmla="*/ 3 w 26"/>
                <a:gd name="T65" fmla="*/ 22 h 25"/>
                <a:gd name="T66" fmla="*/ 3 w 26"/>
                <a:gd name="T67" fmla="*/ 21 h 25"/>
                <a:gd name="T68" fmla="*/ 7 w 26"/>
                <a:gd name="T69" fmla="*/ 3 h 25"/>
                <a:gd name="T70" fmla="*/ 7 w 26"/>
                <a:gd name="T71" fmla="*/ 2 h 25"/>
                <a:gd name="T72" fmla="*/ 7 w 26"/>
                <a:gd name="T73" fmla="*/ 2 h 25"/>
                <a:gd name="T74" fmla="*/ 6 w 26"/>
                <a:gd name="T75" fmla="*/ 2 h 25"/>
                <a:gd name="T76" fmla="*/ 5 w 26"/>
                <a:gd name="T77" fmla="*/ 2 h 25"/>
                <a:gd name="T78" fmla="*/ 5 w 26"/>
                <a:gd name="T79" fmla="*/ 0 h 25"/>
                <a:gd name="T80" fmla="*/ 11 w 26"/>
                <a:gd name="T81" fmla="*/ 0 h 25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w 26"/>
                <a:gd name="T124" fmla="*/ 0 h 25"/>
                <a:gd name="T125" fmla="*/ 26 w 26"/>
                <a:gd name="T126" fmla="*/ 25 h 25"/>
              </a:gdLst>
              <a:ahLst/>
              <a:cxnLst>
                <a:cxn ang="T82">
                  <a:pos x="T0" y="T1"/>
                </a:cxn>
                <a:cxn ang="T83">
                  <a:pos x="T2" y="T3"/>
                </a:cxn>
                <a:cxn ang="T84">
                  <a:pos x="T4" y="T5"/>
                </a:cxn>
                <a:cxn ang="T85">
                  <a:pos x="T6" y="T7"/>
                </a:cxn>
                <a:cxn ang="T86">
                  <a:pos x="T8" y="T9"/>
                </a:cxn>
                <a:cxn ang="T87">
                  <a:pos x="T10" y="T11"/>
                </a:cxn>
                <a:cxn ang="T88">
                  <a:pos x="T12" y="T13"/>
                </a:cxn>
                <a:cxn ang="T89">
                  <a:pos x="T14" y="T15"/>
                </a:cxn>
                <a:cxn ang="T90">
                  <a:pos x="T16" y="T17"/>
                </a:cxn>
                <a:cxn ang="T91">
                  <a:pos x="T18" y="T19"/>
                </a:cxn>
                <a:cxn ang="T92">
                  <a:pos x="T20" y="T21"/>
                </a:cxn>
                <a:cxn ang="T93">
                  <a:pos x="T22" y="T23"/>
                </a:cxn>
                <a:cxn ang="T94">
                  <a:pos x="T24" y="T25"/>
                </a:cxn>
                <a:cxn ang="T95">
                  <a:pos x="T26" y="T27"/>
                </a:cxn>
                <a:cxn ang="T96">
                  <a:pos x="T28" y="T29"/>
                </a:cxn>
                <a:cxn ang="T97">
                  <a:pos x="T30" y="T31"/>
                </a:cxn>
                <a:cxn ang="T98">
                  <a:pos x="T32" y="T33"/>
                </a:cxn>
                <a:cxn ang="T99">
                  <a:pos x="T34" y="T35"/>
                </a:cxn>
                <a:cxn ang="T100">
                  <a:pos x="T36" y="T37"/>
                </a:cxn>
                <a:cxn ang="T101">
                  <a:pos x="T38" y="T39"/>
                </a:cxn>
                <a:cxn ang="T102">
                  <a:pos x="T40" y="T41"/>
                </a:cxn>
                <a:cxn ang="T103">
                  <a:pos x="T42" y="T43"/>
                </a:cxn>
                <a:cxn ang="T104">
                  <a:pos x="T44" y="T45"/>
                </a:cxn>
                <a:cxn ang="T105">
                  <a:pos x="T46" y="T47"/>
                </a:cxn>
                <a:cxn ang="T106">
                  <a:pos x="T48" y="T49"/>
                </a:cxn>
                <a:cxn ang="T107">
                  <a:pos x="T50" y="T51"/>
                </a:cxn>
                <a:cxn ang="T108">
                  <a:pos x="T52" y="T53"/>
                </a:cxn>
                <a:cxn ang="T109">
                  <a:pos x="T54" y="T55"/>
                </a:cxn>
                <a:cxn ang="T110">
                  <a:pos x="T56" y="T57"/>
                </a:cxn>
                <a:cxn ang="T111">
                  <a:pos x="T58" y="T59"/>
                </a:cxn>
                <a:cxn ang="T112">
                  <a:pos x="T60" y="T61"/>
                </a:cxn>
                <a:cxn ang="T113">
                  <a:pos x="T62" y="T63"/>
                </a:cxn>
                <a:cxn ang="T114">
                  <a:pos x="T64" y="T65"/>
                </a:cxn>
                <a:cxn ang="T115">
                  <a:pos x="T66" y="T67"/>
                </a:cxn>
                <a:cxn ang="T116">
                  <a:pos x="T68" y="T69"/>
                </a:cxn>
                <a:cxn ang="T117">
                  <a:pos x="T70" y="T71"/>
                </a:cxn>
                <a:cxn ang="T118">
                  <a:pos x="T72" y="T73"/>
                </a:cxn>
                <a:cxn ang="T119">
                  <a:pos x="T74" y="T75"/>
                </a:cxn>
                <a:cxn ang="T120">
                  <a:pos x="T76" y="T77"/>
                </a:cxn>
                <a:cxn ang="T121">
                  <a:pos x="T78" y="T79"/>
                </a:cxn>
                <a:cxn ang="T122">
                  <a:pos x="T80" y="T81"/>
                </a:cxn>
              </a:cxnLst>
              <a:rect l="T123" t="T124" r="T125" b="T126"/>
              <a:pathLst>
                <a:path w="26" h="25">
                  <a:moveTo>
                    <a:pt x="11" y="0"/>
                  </a:moveTo>
                  <a:lnTo>
                    <a:pt x="18" y="16"/>
                  </a:lnTo>
                  <a:lnTo>
                    <a:pt x="21" y="6"/>
                  </a:lnTo>
                  <a:lnTo>
                    <a:pt x="21" y="5"/>
                  </a:lnTo>
                  <a:lnTo>
                    <a:pt x="21" y="3"/>
                  </a:lnTo>
                  <a:lnTo>
                    <a:pt x="21" y="2"/>
                  </a:lnTo>
                  <a:lnTo>
                    <a:pt x="20" y="2"/>
                  </a:lnTo>
                  <a:lnTo>
                    <a:pt x="19" y="2"/>
                  </a:lnTo>
                  <a:lnTo>
                    <a:pt x="20" y="0"/>
                  </a:lnTo>
                  <a:lnTo>
                    <a:pt x="26" y="0"/>
                  </a:lnTo>
                  <a:lnTo>
                    <a:pt x="25" y="2"/>
                  </a:lnTo>
                  <a:lnTo>
                    <a:pt x="24" y="2"/>
                  </a:lnTo>
                  <a:lnTo>
                    <a:pt x="23" y="3"/>
                  </a:lnTo>
                  <a:lnTo>
                    <a:pt x="22" y="3"/>
                  </a:lnTo>
                  <a:lnTo>
                    <a:pt x="22" y="5"/>
                  </a:lnTo>
                  <a:lnTo>
                    <a:pt x="22" y="6"/>
                  </a:lnTo>
                  <a:lnTo>
                    <a:pt x="17" y="25"/>
                  </a:lnTo>
                  <a:lnTo>
                    <a:pt x="16" y="25"/>
                  </a:lnTo>
                  <a:lnTo>
                    <a:pt x="8" y="5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4" y="24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6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2"/>
                  </a:lnTo>
                  <a:lnTo>
                    <a:pt x="3" y="21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0"/>
                  </a:lnTo>
                  <a:lnTo>
                    <a:pt x="1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79" name="Freeform 28"/>
            <xdr:cNvSpPr>
              <a:spLocks/>
            </xdr:cNvSpPr>
          </xdr:nvSpPr>
          <xdr:spPr bwMode="auto">
            <a:xfrm>
              <a:off x="507" y="156"/>
              <a:ext cx="23" cy="25"/>
            </a:xfrm>
            <a:custGeom>
              <a:avLst/>
              <a:gdLst>
                <a:gd name="T0" fmla="*/ 11 w 23"/>
                <a:gd name="T1" fmla="*/ 12 h 25"/>
                <a:gd name="T2" fmla="*/ 13 w 23"/>
                <a:gd name="T3" fmla="*/ 12 h 25"/>
                <a:gd name="T4" fmla="*/ 14 w 23"/>
                <a:gd name="T5" fmla="*/ 12 h 25"/>
                <a:gd name="T6" fmla="*/ 16 w 23"/>
                <a:gd name="T7" fmla="*/ 11 h 25"/>
                <a:gd name="T8" fmla="*/ 17 w 23"/>
                <a:gd name="T9" fmla="*/ 9 h 25"/>
                <a:gd name="T10" fmla="*/ 18 w 23"/>
                <a:gd name="T11" fmla="*/ 8 h 25"/>
                <a:gd name="T12" fmla="*/ 15 w 23"/>
                <a:gd name="T13" fmla="*/ 16 h 25"/>
                <a:gd name="T14" fmla="*/ 15 w 23"/>
                <a:gd name="T15" fmla="*/ 13 h 25"/>
                <a:gd name="T16" fmla="*/ 13 w 23"/>
                <a:gd name="T17" fmla="*/ 13 h 25"/>
                <a:gd name="T18" fmla="*/ 12 w 23"/>
                <a:gd name="T19" fmla="*/ 13 h 25"/>
                <a:gd name="T20" fmla="*/ 8 w 23"/>
                <a:gd name="T21" fmla="*/ 21 h 25"/>
                <a:gd name="T22" fmla="*/ 8 w 23"/>
                <a:gd name="T23" fmla="*/ 24 h 25"/>
                <a:gd name="T24" fmla="*/ 10 w 23"/>
                <a:gd name="T25" fmla="*/ 24 h 25"/>
                <a:gd name="T26" fmla="*/ 12 w 23"/>
                <a:gd name="T27" fmla="*/ 24 h 25"/>
                <a:gd name="T28" fmla="*/ 13 w 23"/>
                <a:gd name="T29" fmla="*/ 24 h 25"/>
                <a:gd name="T30" fmla="*/ 15 w 23"/>
                <a:gd name="T31" fmla="*/ 24 h 25"/>
                <a:gd name="T32" fmla="*/ 17 w 23"/>
                <a:gd name="T33" fmla="*/ 21 h 25"/>
                <a:gd name="T34" fmla="*/ 19 w 23"/>
                <a:gd name="T35" fmla="*/ 19 h 25"/>
                <a:gd name="T36" fmla="*/ 18 w 23"/>
                <a:gd name="T37" fmla="*/ 25 h 25"/>
                <a:gd name="T38" fmla="*/ 0 w 23"/>
                <a:gd name="T39" fmla="*/ 24 h 25"/>
                <a:gd name="T40" fmla="*/ 2 w 23"/>
                <a:gd name="T41" fmla="*/ 24 h 25"/>
                <a:gd name="T42" fmla="*/ 4 w 23"/>
                <a:gd name="T43" fmla="*/ 22 h 25"/>
                <a:gd name="T44" fmla="*/ 8 w 23"/>
                <a:gd name="T45" fmla="*/ 6 h 25"/>
                <a:gd name="T46" fmla="*/ 8 w 23"/>
                <a:gd name="T47" fmla="*/ 3 h 25"/>
                <a:gd name="T48" fmla="*/ 6 w 23"/>
                <a:gd name="T49" fmla="*/ 2 h 25"/>
                <a:gd name="T50" fmla="*/ 6 w 23"/>
                <a:gd name="T51" fmla="*/ 0 h 25"/>
                <a:gd name="T52" fmla="*/ 21 w 23"/>
                <a:gd name="T53" fmla="*/ 8 h 25"/>
                <a:gd name="T54" fmla="*/ 20 w 23"/>
                <a:gd name="T55" fmla="*/ 6 h 25"/>
                <a:gd name="T56" fmla="*/ 20 w 23"/>
                <a:gd name="T57" fmla="*/ 5 h 25"/>
                <a:gd name="T58" fmla="*/ 19 w 23"/>
                <a:gd name="T59" fmla="*/ 3 h 25"/>
                <a:gd name="T60" fmla="*/ 17 w 23"/>
                <a:gd name="T61" fmla="*/ 2 h 25"/>
                <a:gd name="T62" fmla="*/ 15 w 23"/>
                <a:gd name="T63" fmla="*/ 2 h 25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w 23"/>
                <a:gd name="T97" fmla="*/ 0 h 25"/>
                <a:gd name="T98" fmla="*/ 23 w 23"/>
                <a:gd name="T99" fmla="*/ 25 h 25"/>
              </a:gdLst>
              <a:ahLst/>
              <a:cxnLst>
                <a:cxn ang="T64">
                  <a:pos x="T0" y="T1"/>
                </a:cxn>
                <a:cxn ang="T65">
                  <a:pos x="T2" y="T3"/>
                </a:cxn>
                <a:cxn ang="T66">
                  <a:pos x="T4" y="T5"/>
                </a:cxn>
                <a:cxn ang="T67">
                  <a:pos x="T6" y="T7"/>
                </a:cxn>
                <a:cxn ang="T68">
                  <a:pos x="T8" y="T9"/>
                </a:cxn>
                <a:cxn ang="T69">
                  <a:pos x="T10" y="T11"/>
                </a:cxn>
                <a:cxn ang="T70">
                  <a:pos x="T12" y="T13"/>
                </a:cxn>
                <a:cxn ang="T71">
                  <a:pos x="T14" y="T15"/>
                </a:cxn>
                <a:cxn ang="T72">
                  <a:pos x="T16" y="T17"/>
                </a:cxn>
                <a:cxn ang="T73">
                  <a:pos x="T18" y="T19"/>
                </a:cxn>
                <a:cxn ang="T74">
                  <a:pos x="T20" y="T21"/>
                </a:cxn>
                <a:cxn ang="T75">
                  <a:pos x="T22" y="T23"/>
                </a:cxn>
                <a:cxn ang="T76">
                  <a:pos x="T24" y="T25"/>
                </a:cxn>
                <a:cxn ang="T77">
                  <a:pos x="T26" y="T27"/>
                </a:cxn>
                <a:cxn ang="T78">
                  <a:pos x="T28" y="T29"/>
                </a:cxn>
                <a:cxn ang="T79">
                  <a:pos x="T30" y="T31"/>
                </a:cxn>
                <a:cxn ang="T80">
                  <a:pos x="T32" y="T33"/>
                </a:cxn>
                <a:cxn ang="T81">
                  <a:pos x="T34" y="T35"/>
                </a:cxn>
                <a:cxn ang="T82">
                  <a:pos x="T36" y="T37"/>
                </a:cxn>
                <a:cxn ang="T83">
                  <a:pos x="T38" y="T39"/>
                </a:cxn>
                <a:cxn ang="T84">
                  <a:pos x="T40" y="T41"/>
                </a:cxn>
                <a:cxn ang="T85">
                  <a:pos x="T42" y="T43"/>
                </a:cxn>
                <a:cxn ang="T86">
                  <a:pos x="T44" y="T45"/>
                </a:cxn>
                <a:cxn ang="T87">
                  <a:pos x="T46" y="T47"/>
                </a:cxn>
                <a:cxn ang="T88">
                  <a:pos x="T48" y="T49"/>
                </a:cxn>
                <a:cxn ang="T89">
                  <a:pos x="T50" y="T51"/>
                </a:cxn>
                <a:cxn ang="T90">
                  <a:pos x="T52" y="T53"/>
                </a:cxn>
                <a:cxn ang="T91">
                  <a:pos x="T54" y="T55"/>
                </a:cxn>
                <a:cxn ang="T92">
                  <a:pos x="T56" y="T57"/>
                </a:cxn>
                <a:cxn ang="T93">
                  <a:pos x="T58" y="T59"/>
                </a:cxn>
                <a:cxn ang="T94">
                  <a:pos x="T60" y="T61"/>
                </a:cxn>
                <a:cxn ang="T95">
                  <a:pos x="T62" y="T63"/>
                </a:cxn>
              </a:cxnLst>
              <a:rect l="T96" t="T97" r="T98" b="T99"/>
              <a:pathLst>
                <a:path w="23" h="25">
                  <a:moveTo>
                    <a:pt x="13" y="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8" y="8"/>
                  </a:lnTo>
                  <a:lnTo>
                    <a:pt x="16" y="16"/>
                  </a:lnTo>
                  <a:lnTo>
                    <a:pt x="15" y="16"/>
                  </a:lnTo>
                  <a:lnTo>
                    <a:pt x="15" y="15"/>
                  </a:lnTo>
                  <a:lnTo>
                    <a:pt x="15" y="13"/>
                  </a:lnTo>
                  <a:lnTo>
                    <a:pt x="14" y="13"/>
                  </a:lnTo>
                  <a:lnTo>
                    <a:pt x="13" y="13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4"/>
                  </a:lnTo>
                  <a:lnTo>
                    <a:pt x="16" y="22"/>
                  </a:lnTo>
                  <a:lnTo>
                    <a:pt x="17" y="21"/>
                  </a:lnTo>
                  <a:lnTo>
                    <a:pt x="18" y="21"/>
                  </a:lnTo>
                  <a:lnTo>
                    <a:pt x="19" y="19"/>
                  </a:lnTo>
                  <a:lnTo>
                    <a:pt x="20" y="19"/>
                  </a:lnTo>
                  <a:lnTo>
                    <a:pt x="18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23" y="0"/>
                  </a:lnTo>
                  <a:lnTo>
                    <a:pt x="21" y="8"/>
                  </a:lnTo>
                  <a:lnTo>
                    <a:pt x="20" y="8"/>
                  </a:lnTo>
                  <a:lnTo>
                    <a:pt x="20" y="6"/>
                  </a:lnTo>
                  <a:lnTo>
                    <a:pt x="20" y="5"/>
                  </a:lnTo>
                  <a:lnTo>
                    <a:pt x="20" y="3"/>
                  </a:lnTo>
                  <a:lnTo>
                    <a:pt x="19" y="3"/>
                  </a:lnTo>
                  <a:lnTo>
                    <a:pt x="18" y="2"/>
                  </a:lnTo>
                  <a:lnTo>
                    <a:pt x="17" y="2"/>
                  </a:lnTo>
                  <a:lnTo>
                    <a:pt x="16" y="2"/>
                  </a:lnTo>
                  <a:lnTo>
                    <a:pt x="15" y="2"/>
                  </a:lnTo>
                  <a:lnTo>
                    <a:pt x="13" y="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0" name="Freeform 29"/>
            <xdr:cNvSpPr>
              <a:spLocks/>
            </xdr:cNvSpPr>
          </xdr:nvSpPr>
          <xdr:spPr bwMode="auto">
            <a:xfrm>
              <a:off x="527" y="156"/>
              <a:ext cx="19" cy="25"/>
            </a:xfrm>
            <a:custGeom>
              <a:avLst/>
              <a:gdLst>
                <a:gd name="T0" fmla="*/ 17 w 19"/>
                <a:gd name="T1" fmla="*/ 9 h 25"/>
                <a:gd name="T2" fmla="*/ 16 w 19"/>
                <a:gd name="T3" fmla="*/ 8 h 25"/>
                <a:gd name="T4" fmla="*/ 16 w 19"/>
                <a:gd name="T5" fmla="*/ 5 h 25"/>
                <a:gd name="T6" fmla="*/ 15 w 19"/>
                <a:gd name="T7" fmla="*/ 3 h 25"/>
                <a:gd name="T8" fmla="*/ 14 w 19"/>
                <a:gd name="T9" fmla="*/ 0 h 25"/>
                <a:gd name="T10" fmla="*/ 12 w 19"/>
                <a:gd name="T11" fmla="*/ 0 h 25"/>
                <a:gd name="T12" fmla="*/ 10 w 19"/>
                <a:gd name="T13" fmla="*/ 2 h 25"/>
                <a:gd name="T14" fmla="*/ 9 w 19"/>
                <a:gd name="T15" fmla="*/ 5 h 25"/>
                <a:gd name="T16" fmla="*/ 9 w 19"/>
                <a:gd name="T17" fmla="*/ 8 h 25"/>
                <a:gd name="T18" fmla="*/ 10 w 19"/>
                <a:gd name="T19" fmla="*/ 9 h 25"/>
                <a:gd name="T20" fmla="*/ 11 w 19"/>
                <a:gd name="T21" fmla="*/ 11 h 25"/>
                <a:gd name="T22" fmla="*/ 12 w 19"/>
                <a:gd name="T23" fmla="*/ 12 h 25"/>
                <a:gd name="T24" fmla="*/ 14 w 19"/>
                <a:gd name="T25" fmla="*/ 13 h 25"/>
                <a:gd name="T26" fmla="*/ 14 w 19"/>
                <a:gd name="T27" fmla="*/ 15 h 25"/>
                <a:gd name="T28" fmla="*/ 15 w 19"/>
                <a:gd name="T29" fmla="*/ 18 h 25"/>
                <a:gd name="T30" fmla="*/ 15 w 19"/>
                <a:gd name="T31" fmla="*/ 21 h 25"/>
                <a:gd name="T32" fmla="*/ 14 w 19"/>
                <a:gd name="T33" fmla="*/ 24 h 25"/>
                <a:gd name="T34" fmla="*/ 12 w 19"/>
                <a:gd name="T35" fmla="*/ 24 h 25"/>
                <a:gd name="T36" fmla="*/ 10 w 19"/>
                <a:gd name="T37" fmla="*/ 25 h 25"/>
                <a:gd name="T38" fmla="*/ 8 w 19"/>
                <a:gd name="T39" fmla="*/ 25 h 25"/>
                <a:gd name="T40" fmla="*/ 7 w 19"/>
                <a:gd name="T41" fmla="*/ 25 h 25"/>
                <a:gd name="T42" fmla="*/ 5 w 19"/>
                <a:gd name="T43" fmla="*/ 24 h 25"/>
                <a:gd name="T44" fmla="*/ 3 w 19"/>
                <a:gd name="T45" fmla="*/ 24 h 25"/>
                <a:gd name="T46" fmla="*/ 2 w 19"/>
                <a:gd name="T47" fmla="*/ 25 h 25"/>
                <a:gd name="T48" fmla="*/ 0 w 19"/>
                <a:gd name="T49" fmla="*/ 25 h 25"/>
                <a:gd name="T50" fmla="*/ 3 w 19"/>
                <a:gd name="T51" fmla="*/ 18 h 25"/>
                <a:gd name="T52" fmla="*/ 4 w 19"/>
                <a:gd name="T53" fmla="*/ 19 h 25"/>
                <a:gd name="T54" fmla="*/ 5 w 19"/>
                <a:gd name="T55" fmla="*/ 21 h 25"/>
                <a:gd name="T56" fmla="*/ 6 w 19"/>
                <a:gd name="T57" fmla="*/ 24 h 25"/>
                <a:gd name="T58" fmla="*/ 7 w 19"/>
                <a:gd name="T59" fmla="*/ 24 h 25"/>
                <a:gd name="T60" fmla="*/ 9 w 19"/>
                <a:gd name="T61" fmla="*/ 24 h 25"/>
                <a:gd name="T62" fmla="*/ 11 w 19"/>
                <a:gd name="T63" fmla="*/ 24 h 25"/>
                <a:gd name="T64" fmla="*/ 12 w 19"/>
                <a:gd name="T65" fmla="*/ 21 h 25"/>
                <a:gd name="T66" fmla="*/ 11 w 19"/>
                <a:gd name="T67" fmla="*/ 18 h 25"/>
                <a:gd name="T68" fmla="*/ 10 w 19"/>
                <a:gd name="T69" fmla="*/ 16 h 25"/>
                <a:gd name="T70" fmla="*/ 9 w 19"/>
                <a:gd name="T71" fmla="*/ 15 h 25"/>
                <a:gd name="T72" fmla="*/ 8 w 19"/>
                <a:gd name="T73" fmla="*/ 13 h 25"/>
                <a:gd name="T74" fmla="*/ 7 w 19"/>
                <a:gd name="T75" fmla="*/ 12 h 25"/>
                <a:gd name="T76" fmla="*/ 6 w 19"/>
                <a:gd name="T77" fmla="*/ 9 h 25"/>
                <a:gd name="T78" fmla="*/ 6 w 19"/>
                <a:gd name="T79" fmla="*/ 6 h 25"/>
                <a:gd name="T80" fmla="*/ 7 w 19"/>
                <a:gd name="T81" fmla="*/ 5 h 25"/>
                <a:gd name="T82" fmla="*/ 7 w 19"/>
                <a:gd name="T83" fmla="*/ 2 h 25"/>
                <a:gd name="T84" fmla="*/ 9 w 19"/>
                <a:gd name="T85" fmla="*/ 0 h 25"/>
                <a:gd name="T86" fmla="*/ 11 w 19"/>
                <a:gd name="T87" fmla="*/ 0 h 25"/>
                <a:gd name="T88" fmla="*/ 13 w 19"/>
                <a:gd name="T89" fmla="*/ 0 h 25"/>
                <a:gd name="T90" fmla="*/ 14 w 19"/>
                <a:gd name="T91" fmla="*/ 0 h 25"/>
                <a:gd name="T92" fmla="*/ 16 w 19"/>
                <a:gd name="T93" fmla="*/ 0 h 25"/>
                <a:gd name="T94" fmla="*/ 18 w 19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9"/>
                <a:gd name="T145" fmla="*/ 0 h 25"/>
                <a:gd name="T146" fmla="*/ 19 w 19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9" h="25">
                  <a:moveTo>
                    <a:pt x="19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4" y="0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1" y="9"/>
                  </a:lnTo>
                  <a:lnTo>
                    <a:pt x="11" y="11"/>
                  </a:lnTo>
                  <a:lnTo>
                    <a:pt x="12" y="11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4" y="24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5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4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4" y="18"/>
                  </a:lnTo>
                  <a:lnTo>
                    <a:pt x="4" y="19"/>
                  </a:lnTo>
                  <a:lnTo>
                    <a:pt x="4" y="21"/>
                  </a:lnTo>
                  <a:lnTo>
                    <a:pt x="5" y="21"/>
                  </a:lnTo>
                  <a:lnTo>
                    <a:pt x="5" y="22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2"/>
                  </a:lnTo>
                  <a:lnTo>
                    <a:pt x="12" y="21"/>
                  </a:lnTo>
                  <a:lnTo>
                    <a:pt x="12" y="19"/>
                  </a:lnTo>
                  <a:lnTo>
                    <a:pt x="11" y="18"/>
                  </a:lnTo>
                  <a:lnTo>
                    <a:pt x="11" y="16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7" y="11"/>
                  </a:lnTo>
                  <a:lnTo>
                    <a:pt x="6" y="9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1" name="Freeform 30"/>
            <xdr:cNvSpPr>
              <a:spLocks/>
            </xdr:cNvSpPr>
          </xdr:nvSpPr>
          <xdr:spPr bwMode="auto">
            <a:xfrm>
              <a:off x="552" y="156"/>
              <a:ext cx="18" cy="25"/>
            </a:xfrm>
            <a:custGeom>
              <a:avLst/>
              <a:gdLst>
                <a:gd name="T0" fmla="*/ 17 w 18"/>
                <a:gd name="T1" fmla="*/ 9 h 25"/>
                <a:gd name="T2" fmla="*/ 16 w 18"/>
                <a:gd name="T3" fmla="*/ 8 h 25"/>
                <a:gd name="T4" fmla="*/ 16 w 18"/>
                <a:gd name="T5" fmla="*/ 5 h 25"/>
                <a:gd name="T6" fmla="*/ 15 w 18"/>
                <a:gd name="T7" fmla="*/ 3 h 25"/>
                <a:gd name="T8" fmla="*/ 13 w 18"/>
                <a:gd name="T9" fmla="*/ 0 h 25"/>
                <a:gd name="T10" fmla="*/ 11 w 18"/>
                <a:gd name="T11" fmla="*/ 0 h 25"/>
                <a:gd name="T12" fmla="*/ 10 w 18"/>
                <a:gd name="T13" fmla="*/ 2 h 25"/>
                <a:gd name="T14" fmla="*/ 9 w 18"/>
                <a:gd name="T15" fmla="*/ 5 h 25"/>
                <a:gd name="T16" fmla="*/ 9 w 18"/>
                <a:gd name="T17" fmla="*/ 8 h 25"/>
                <a:gd name="T18" fmla="*/ 10 w 18"/>
                <a:gd name="T19" fmla="*/ 9 h 25"/>
                <a:gd name="T20" fmla="*/ 10 w 18"/>
                <a:gd name="T21" fmla="*/ 11 h 25"/>
                <a:gd name="T22" fmla="*/ 11 w 18"/>
                <a:gd name="T23" fmla="*/ 12 h 25"/>
                <a:gd name="T24" fmla="*/ 13 w 18"/>
                <a:gd name="T25" fmla="*/ 13 h 25"/>
                <a:gd name="T26" fmla="*/ 14 w 18"/>
                <a:gd name="T27" fmla="*/ 15 h 25"/>
                <a:gd name="T28" fmla="*/ 15 w 18"/>
                <a:gd name="T29" fmla="*/ 18 h 25"/>
                <a:gd name="T30" fmla="*/ 15 w 18"/>
                <a:gd name="T31" fmla="*/ 21 h 25"/>
                <a:gd name="T32" fmla="*/ 13 w 18"/>
                <a:gd name="T33" fmla="*/ 24 h 25"/>
                <a:gd name="T34" fmla="*/ 11 w 18"/>
                <a:gd name="T35" fmla="*/ 24 h 25"/>
                <a:gd name="T36" fmla="*/ 10 w 18"/>
                <a:gd name="T37" fmla="*/ 25 h 25"/>
                <a:gd name="T38" fmla="*/ 8 w 18"/>
                <a:gd name="T39" fmla="*/ 25 h 25"/>
                <a:gd name="T40" fmla="*/ 6 w 18"/>
                <a:gd name="T41" fmla="*/ 25 h 25"/>
                <a:gd name="T42" fmla="*/ 4 w 18"/>
                <a:gd name="T43" fmla="*/ 24 h 25"/>
                <a:gd name="T44" fmla="*/ 3 w 18"/>
                <a:gd name="T45" fmla="*/ 24 h 25"/>
                <a:gd name="T46" fmla="*/ 2 w 18"/>
                <a:gd name="T47" fmla="*/ 25 h 25"/>
                <a:gd name="T48" fmla="*/ 0 w 18"/>
                <a:gd name="T49" fmla="*/ 25 h 25"/>
                <a:gd name="T50" fmla="*/ 3 w 18"/>
                <a:gd name="T51" fmla="*/ 18 h 25"/>
                <a:gd name="T52" fmla="*/ 3 w 18"/>
                <a:gd name="T53" fmla="*/ 19 h 25"/>
                <a:gd name="T54" fmla="*/ 4 w 18"/>
                <a:gd name="T55" fmla="*/ 21 h 25"/>
                <a:gd name="T56" fmla="*/ 5 w 18"/>
                <a:gd name="T57" fmla="*/ 24 h 25"/>
                <a:gd name="T58" fmla="*/ 7 w 18"/>
                <a:gd name="T59" fmla="*/ 24 h 25"/>
                <a:gd name="T60" fmla="*/ 9 w 18"/>
                <a:gd name="T61" fmla="*/ 24 h 25"/>
                <a:gd name="T62" fmla="*/ 10 w 18"/>
                <a:gd name="T63" fmla="*/ 24 h 25"/>
                <a:gd name="T64" fmla="*/ 11 w 18"/>
                <a:gd name="T65" fmla="*/ 21 h 25"/>
                <a:gd name="T66" fmla="*/ 10 w 18"/>
                <a:gd name="T67" fmla="*/ 18 h 25"/>
                <a:gd name="T68" fmla="*/ 10 w 18"/>
                <a:gd name="T69" fmla="*/ 16 h 25"/>
                <a:gd name="T70" fmla="*/ 9 w 18"/>
                <a:gd name="T71" fmla="*/ 15 h 25"/>
                <a:gd name="T72" fmla="*/ 8 w 18"/>
                <a:gd name="T73" fmla="*/ 13 h 25"/>
                <a:gd name="T74" fmla="*/ 7 w 18"/>
                <a:gd name="T75" fmla="*/ 12 h 25"/>
                <a:gd name="T76" fmla="*/ 5 w 18"/>
                <a:gd name="T77" fmla="*/ 9 h 25"/>
                <a:gd name="T78" fmla="*/ 5 w 18"/>
                <a:gd name="T79" fmla="*/ 6 h 25"/>
                <a:gd name="T80" fmla="*/ 6 w 18"/>
                <a:gd name="T81" fmla="*/ 5 h 25"/>
                <a:gd name="T82" fmla="*/ 7 w 18"/>
                <a:gd name="T83" fmla="*/ 2 h 25"/>
                <a:gd name="T84" fmla="*/ 9 w 18"/>
                <a:gd name="T85" fmla="*/ 0 h 25"/>
                <a:gd name="T86" fmla="*/ 10 w 18"/>
                <a:gd name="T87" fmla="*/ 0 h 25"/>
                <a:gd name="T88" fmla="*/ 12 w 18"/>
                <a:gd name="T89" fmla="*/ 0 h 25"/>
                <a:gd name="T90" fmla="*/ 14 w 18"/>
                <a:gd name="T91" fmla="*/ 0 h 25"/>
                <a:gd name="T92" fmla="*/ 16 w 18"/>
                <a:gd name="T93" fmla="*/ 0 h 25"/>
                <a:gd name="T94" fmla="*/ 17 w 18"/>
                <a:gd name="T95" fmla="*/ 0 h 25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w 18"/>
                <a:gd name="T145" fmla="*/ 0 h 25"/>
                <a:gd name="T146" fmla="*/ 18 w 18"/>
                <a:gd name="T147" fmla="*/ 25 h 25"/>
              </a:gdLst>
              <a:ahLst/>
              <a:cxnLst>
                <a:cxn ang="T96">
                  <a:pos x="T0" y="T1"/>
                </a:cxn>
                <a:cxn ang="T97">
                  <a:pos x="T2" y="T3"/>
                </a:cxn>
                <a:cxn ang="T98">
                  <a:pos x="T4" y="T5"/>
                </a:cxn>
                <a:cxn ang="T99">
                  <a:pos x="T6" y="T7"/>
                </a:cxn>
                <a:cxn ang="T100">
                  <a:pos x="T8" y="T9"/>
                </a:cxn>
                <a:cxn ang="T101">
                  <a:pos x="T10" y="T11"/>
                </a:cxn>
                <a:cxn ang="T102">
                  <a:pos x="T12" y="T13"/>
                </a:cxn>
                <a:cxn ang="T103">
                  <a:pos x="T14" y="T15"/>
                </a:cxn>
                <a:cxn ang="T104">
                  <a:pos x="T16" y="T17"/>
                </a:cxn>
                <a:cxn ang="T105">
                  <a:pos x="T18" y="T19"/>
                </a:cxn>
                <a:cxn ang="T106">
                  <a:pos x="T20" y="T21"/>
                </a:cxn>
                <a:cxn ang="T107">
                  <a:pos x="T22" y="T23"/>
                </a:cxn>
                <a:cxn ang="T108">
                  <a:pos x="T24" y="T25"/>
                </a:cxn>
                <a:cxn ang="T109">
                  <a:pos x="T26" y="T27"/>
                </a:cxn>
                <a:cxn ang="T110">
                  <a:pos x="T28" y="T29"/>
                </a:cxn>
                <a:cxn ang="T111">
                  <a:pos x="T30" y="T31"/>
                </a:cxn>
                <a:cxn ang="T112">
                  <a:pos x="T32" y="T33"/>
                </a:cxn>
                <a:cxn ang="T113">
                  <a:pos x="T34" y="T35"/>
                </a:cxn>
                <a:cxn ang="T114">
                  <a:pos x="T36" y="T37"/>
                </a:cxn>
                <a:cxn ang="T115">
                  <a:pos x="T38" y="T39"/>
                </a:cxn>
                <a:cxn ang="T116">
                  <a:pos x="T40" y="T41"/>
                </a:cxn>
                <a:cxn ang="T117">
                  <a:pos x="T42" y="T43"/>
                </a:cxn>
                <a:cxn ang="T118">
                  <a:pos x="T44" y="T45"/>
                </a:cxn>
                <a:cxn ang="T119">
                  <a:pos x="T46" y="T47"/>
                </a:cxn>
                <a:cxn ang="T120">
                  <a:pos x="T48" y="T49"/>
                </a:cxn>
                <a:cxn ang="T121">
                  <a:pos x="T50" y="T51"/>
                </a:cxn>
                <a:cxn ang="T122">
                  <a:pos x="T52" y="T53"/>
                </a:cxn>
                <a:cxn ang="T123">
                  <a:pos x="T54" y="T55"/>
                </a:cxn>
                <a:cxn ang="T124">
                  <a:pos x="T56" y="T57"/>
                </a:cxn>
                <a:cxn ang="T125">
                  <a:pos x="T58" y="T59"/>
                </a:cxn>
                <a:cxn ang="T126">
                  <a:pos x="T60" y="T61"/>
                </a:cxn>
                <a:cxn ang="T127">
                  <a:pos x="T62" y="T63"/>
                </a:cxn>
                <a:cxn ang="T128">
                  <a:pos x="T64" y="T65"/>
                </a:cxn>
                <a:cxn ang="T129">
                  <a:pos x="T66" y="T67"/>
                </a:cxn>
                <a:cxn ang="T130">
                  <a:pos x="T68" y="T69"/>
                </a:cxn>
                <a:cxn ang="T131">
                  <a:pos x="T70" y="T71"/>
                </a:cxn>
                <a:cxn ang="T132">
                  <a:pos x="T72" y="T73"/>
                </a:cxn>
                <a:cxn ang="T133">
                  <a:pos x="T74" y="T75"/>
                </a:cxn>
                <a:cxn ang="T134">
                  <a:pos x="T76" y="T77"/>
                </a:cxn>
                <a:cxn ang="T135">
                  <a:pos x="T78" y="T79"/>
                </a:cxn>
                <a:cxn ang="T136">
                  <a:pos x="T80" y="T81"/>
                </a:cxn>
                <a:cxn ang="T137">
                  <a:pos x="T82" y="T83"/>
                </a:cxn>
                <a:cxn ang="T138">
                  <a:pos x="T84" y="T85"/>
                </a:cxn>
                <a:cxn ang="T139">
                  <a:pos x="T86" y="T87"/>
                </a:cxn>
                <a:cxn ang="T140">
                  <a:pos x="T88" y="T89"/>
                </a:cxn>
                <a:cxn ang="T141">
                  <a:pos x="T90" y="T91"/>
                </a:cxn>
                <a:cxn ang="T142">
                  <a:pos x="T92" y="T93"/>
                </a:cxn>
                <a:cxn ang="T143">
                  <a:pos x="T94" y="T95"/>
                </a:cxn>
              </a:cxnLst>
              <a:rect l="T144" t="T145" r="T146" b="T147"/>
              <a:pathLst>
                <a:path w="18" h="25">
                  <a:moveTo>
                    <a:pt x="18" y="0"/>
                  </a:moveTo>
                  <a:lnTo>
                    <a:pt x="17" y="9"/>
                  </a:lnTo>
                  <a:lnTo>
                    <a:pt x="16" y="9"/>
                  </a:lnTo>
                  <a:lnTo>
                    <a:pt x="16" y="8"/>
                  </a:lnTo>
                  <a:lnTo>
                    <a:pt x="16" y="6"/>
                  </a:lnTo>
                  <a:lnTo>
                    <a:pt x="16" y="5"/>
                  </a:lnTo>
                  <a:lnTo>
                    <a:pt x="15" y="5"/>
                  </a:lnTo>
                  <a:lnTo>
                    <a:pt x="15" y="3"/>
                  </a:lnTo>
                  <a:lnTo>
                    <a:pt x="14" y="2"/>
                  </a:lnTo>
                  <a:lnTo>
                    <a:pt x="13" y="0"/>
                  </a:lnTo>
                  <a:lnTo>
                    <a:pt x="12" y="0"/>
                  </a:lnTo>
                  <a:lnTo>
                    <a:pt x="11" y="0"/>
                  </a:lnTo>
                  <a:lnTo>
                    <a:pt x="10" y="0"/>
                  </a:lnTo>
                  <a:lnTo>
                    <a:pt x="10" y="2"/>
                  </a:lnTo>
                  <a:lnTo>
                    <a:pt x="9" y="3"/>
                  </a:lnTo>
                  <a:lnTo>
                    <a:pt x="9" y="5"/>
                  </a:lnTo>
                  <a:lnTo>
                    <a:pt x="9" y="6"/>
                  </a:lnTo>
                  <a:lnTo>
                    <a:pt x="9" y="8"/>
                  </a:lnTo>
                  <a:lnTo>
                    <a:pt x="10" y="8"/>
                  </a:lnTo>
                  <a:lnTo>
                    <a:pt x="10" y="9"/>
                  </a:lnTo>
                  <a:lnTo>
                    <a:pt x="10" y="11"/>
                  </a:lnTo>
                  <a:lnTo>
                    <a:pt x="11" y="11"/>
                  </a:lnTo>
                  <a:lnTo>
                    <a:pt x="11" y="12"/>
                  </a:lnTo>
                  <a:lnTo>
                    <a:pt x="12" y="12"/>
                  </a:lnTo>
                  <a:lnTo>
                    <a:pt x="13" y="13"/>
                  </a:lnTo>
                  <a:lnTo>
                    <a:pt x="14" y="13"/>
                  </a:lnTo>
                  <a:lnTo>
                    <a:pt x="14" y="15"/>
                  </a:lnTo>
                  <a:lnTo>
                    <a:pt x="15" y="16"/>
                  </a:lnTo>
                  <a:lnTo>
                    <a:pt x="15" y="18"/>
                  </a:lnTo>
                  <a:lnTo>
                    <a:pt x="15" y="19"/>
                  </a:lnTo>
                  <a:lnTo>
                    <a:pt x="15" y="21"/>
                  </a:lnTo>
                  <a:lnTo>
                    <a:pt x="14" y="22"/>
                  </a:lnTo>
                  <a:lnTo>
                    <a:pt x="13" y="24"/>
                  </a:lnTo>
                  <a:lnTo>
                    <a:pt x="12" y="24"/>
                  </a:lnTo>
                  <a:lnTo>
                    <a:pt x="11" y="24"/>
                  </a:lnTo>
                  <a:lnTo>
                    <a:pt x="10" y="25"/>
                  </a:lnTo>
                  <a:lnTo>
                    <a:pt x="9" y="25"/>
                  </a:lnTo>
                  <a:lnTo>
                    <a:pt x="8" y="25"/>
                  </a:lnTo>
                  <a:lnTo>
                    <a:pt x="7" y="25"/>
                  </a:lnTo>
                  <a:lnTo>
                    <a:pt x="6" y="25"/>
                  </a:lnTo>
                  <a:lnTo>
                    <a:pt x="5" y="24"/>
                  </a:lnTo>
                  <a:lnTo>
                    <a:pt x="4" y="24"/>
                  </a:lnTo>
                  <a:lnTo>
                    <a:pt x="3" y="24"/>
                  </a:lnTo>
                  <a:lnTo>
                    <a:pt x="2" y="24"/>
                  </a:lnTo>
                  <a:lnTo>
                    <a:pt x="2" y="25"/>
                  </a:lnTo>
                  <a:lnTo>
                    <a:pt x="1" y="25"/>
                  </a:lnTo>
                  <a:lnTo>
                    <a:pt x="0" y="25"/>
                  </a:lnTo>
                  <a:lnTo>
                    <a:pt x="3" y="16"/>
                  </a:lnTo>
                  <a:lnTo>
                    <a:pt x="3" y="18"/>
                  </a:lnTo>
                  <a:lnTo>
                    <a:pt x="3" y="19"/>
                  </a:lnTo>
                  <a:lnTo>
                    <a:pt x="3" y="21"/>
                  </a:lnTo>
                  <a:lnTo>
                    <a:pt x="4" y="21"/>
                  </a:lnTo>
                  <a:lnTo>
                    <a:pt x="4" y="22"/>
                  </a:lnTo>
                  <a:lnTo>
                    <a:pt x="5" y="24"/>
                  </a:lnTo>
                  <a:lnTo>
                    <a:pt x="6" y="24"/>
                  </a:lnTo>
                  <a:lnTo>
                    <a:pt x="7" y="24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2"/>
                  </a:lnTo>
                  <a:lnTo>
                    <a:pt x="11" y="21"/>
                  </a:lnTo>
                  <a:lnTo>
                    <a:pt x="11" y="19"/>
                  </a:lnTo>
                  <a:lnTo>
                    <a:pt x="10" y="18"/>
                  </a:lnTo>
                  <a:lnTo>
                    <a:pt x="10" y="16"/>
                  </a:lnTo>
                  <a:lnTo>
                    <a:pt x="10" y="15"/>
                  </a:lnTo>
                  <a:lnTo>
                    <a:pt x="9" y="15"/>
                  </a:lnTo>
                  <a:lnTo>
                    <a:pt x="9" y="13"/>
                  </a:lnTo>
                  <a:lnTo>
                    <a:pt x="8" y="13"/>
                  </a:lnTo>
                  <a:lnTo>
                    <a:pt x="8" y="12"/>
                  </a:lnTo>
                  <a:lnTo>
                    <a:pt x="7" y="12"/>
                  </a:lnTo>
                  <a:lnTo>
                    <a:pt x="6" y="11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3"/>
                  </a:lnTo>
                  <a:lnTo>
                    <a:pt x="7" y="2"/>
                  </a:lnTo>
                  <a:lnTo>
                    <a:pt x="8" y="0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2" y="0"/>
                  </a:lnTo>
                  <a:lnTo>
                    <a:pt x="13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2" name="Freeform 31"/>
            <xdr:cNvSpPr>
              <a:spLocks/>
            </xdr:cNvSpPr>
          </xdr:nvSpPr>
          <xdr:spPr bwMode="auto">
            <a:xfrm>
              <a:off x="569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3" name="Freeform 32"/>
            <xdr:cNvSpPr>
              <a:spLocks noEditPoints="1"/>
            </xdr:cNvSpPr>
          </xdr:nvSpPr>
          <xdr:spPr bwMode="auto">
            <a:xfrm>
              <a:off x="576" y="156"/>
              <a:ext cx="21" cy="25"/>
            </a:xfrm>
            <a:custGeom>
              <a:avLst/>
              <a:gdLst>
                <a:gd name="T0" fmla="*/ 8 w 21"/>
                <a:gd name="T1" fmla="*/ 21 h 25"/>
                <a:gd name="T2" fmla="*/ 8 w 21"/>
                <a:gd name="T3" fmla="*/ 24 h 25"/>
                <a:gd name="T4" fmla="*/ 10 w 21"/>
                <a:gd name="T5" fmla="*/ 24 h 25"/>
                <a:gd name="T6" fmla="*/ 0 w 21"/>
                <a:gd name="T7" fmla="*/ 25 h 25"/>
                <a:gd name="T8" fmla="*/ 1 w 21"/>
                <a:gd name="T9" fmla="*/ 24 h 25"/>
                <a:gd name="T10" fmla="*/ 3 w 21"/>
                <a:gd name="T11" fmla="*/ 24 h 25"/>
                <a:gd name="T12" fmla="*/ 4 w 21"/>
                <a:gd name="T13" fmla="*/ 21 h 25"/>
                <a:gd name="T14" fmla="*/ 8 w 21"/>
                <a:gd name="T15" fmla="*/ 3 h 25"/>
                <a:gd name="T16" fmla="*/ 7 w 21"/>
                <a:gd name="T17" fmla="*/ 2 h 25"/>
                <a:gd name="T18" fmla="*/ 7 w 21"/>
                <a:gd name="T19" fmla="*/ 0 h 25"/>
                <a:gd name="T20" fmla="*/ 16 w 21"/>
                <a:gd name="T21" fmla="*/ 0 h 25"/>
                <a:gd name="T22" fmla="*/ 18 w 21"/>
                <a:gd name="T23" fmla="*/ 0 h 25"/>
                <a:gd name="T24" fmla="*/ 20 w 21"/>
                <a:gd name="T25" fmla="*/ 2 h 25"/>
                <a:gd name="T26" fmla="*/ 21 w 21"/>
                <a:gd name="T27" fmla="*/ 5 h 25"/>
                <a:gd name="T28" fmla="*/ 21 w 21"/>
                <a:gd name="T29" fmla="*/ 8 h 25"/>
                <a:gd name="T30" fmla="*/ 21 w 21"/>
                <a:gd name="T31" fmla="*/ 9 h 25"/>
                <a:gd name="T32" fmla="*/ 19 w 21"/>
                <a:gd name="T33" fmla="*/ 11 h 25"/>
                <a:gd name="T34" fmla="*/ 17 w 21"/>
                <a:gd name="T35" fmla="*/ 12 h 25"/>
                <a:gd name="T36" fmla="*/ 16 w 21"/>
                <a:gd name="T37" fmla="*/ 13 h 25"/>
                <a:gd name="T38" fmla="*/ 19 w 21"/>
                <a:gd name="T39" fmla="*/ 22 h 25"/>
                <a:gd name="T40" fmla="*/ 20 w 21"/>
                <a:gd name="T41" fmla="*/ 24 h 25"/>
                <a:gd name="T42" fmla="*/ 21 w 21"/>
                <a:gd name="T43" fmla="*/ 24 h 25"/>
                <a:gd name="T44" fmla="*/ 15 w 21"/>
                <a:gd name="T45" fmla="*/ 25 h 25"/>
                <a:gd name="T46" fmla="*/ 11 w 21"/>
                <a:gd name="T47" fmla="*/ 13 h 25"/>
                <a:gd name="T48" fmla="*/ 10 w 21"/>
                <a:gd name="T49" fmla="*/ 12 h 25"/>
                <a:gd name="T50" fmla="*/ 12 w 21"/>
                <a:gd name="T51" fmla="*/ 12 h 25"/>
                <a:gd name="T52" fmla="*/ 14 w 21"/>
                <a:gd name="T53" fmla="*/ 12 h 25"/>
                <a:gd name="T54" fmla="*/ 14 w 21"/>
                <a:gd name="T55" fmla="*/ 11 h 25"/>
                <a:gd name="T56" fmla="*/ 16 w 21"/>
                <a:gd name="T57" fmla="*/ 11 h 25"/>
                <a:gd name="T58" fmla="*/ 17 w 21"/>
                <a:gd name="T59" fmla="*/ 9 h 25"/>
                <a:gd name="T60" fmla="*/ 17 w 21"/>
                <a:gd name="T61" fmla="*/ 6 h 25"/>
                <a:gd name="T62" fmla="*/ 17 w 21"/>
                <a:gd name="T63" fmla="*/ 3 h 25"/>
                <a:gd name="T64" fmla="*/ 15 w 21"/>
                <a:gd name="T65" fmla="*/ 2 h 25"/>
                <a:gd name="T66" fmla="*/ 14 w 21"/>
                <a:gd name="T67" fmla="*/ 2 h 25"/>
                <a:gd name="T68" fmla="*/ 10 w 21"/>
                <a:gd name="T69" fmla="*/ 12 h 25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w 21"/>
                <a:gd name="T106" fmla="*/ 0 h 25"/>
                <a:gd name="T107" fmla="*/ 21 w 21"/>
                <a:gd name="T108" fmla="*/ 25 h 25"/>
              </a:gdLst>
              <a:ahLst/>
              <a:cxnLst>
                <a:cxn ang="T70">
                  <a:pos x="T0" y="T1"/>
                </a:cxn>
                <a:cxn ang="T71">
                  <a:pos x="T2" y="T3"/>
                </a:cxn>
                <a:cxn ang="T72">
                  <a:pos x="T4" y="T5"/>
                </a:cxn>
                <a:cxn ang="T73">
                  <a:pos x="T6" y="T7"/>
                </a:cxn>
                <a:cxn ang="T74">
                  <a:pos x="T8" y="T9"/>
                </a:cxn>
                <a:cxn ang="T75">
                  <a:pos x="T10" y="T11"/>
                </a:cxn>
                <a:cxn ang="T76">
                  <a:pos x="T12" y="T13"/>
                </a:cxn>
                <a:cxn ang="T77">
                  <a:pos x="T14" y="T15"/>
                </a:cxn>
                <a:cxn ang="T78">
                  <a:pos x="T16" y="T17"/>
                </a:cxn>
                <a:cxn ang="T79">
                  <a:pos x="T18" y="T19"/>
                </a:cxn>
                <a:cxn ang="T80">
                  <a:pos x="T20" y="T21"/>
                </a:cxn>
                <a:cxn ang="T81">
                  <a:pos x="T22" y="T23"/>
                </a:cxn>
                <a:cxn ang="T82">
                  <a:pos x="T24" y="T25"/>
                </a:cxn>
                <a:cxn ang="T83">
                  <a:pos x="T26" y="T27"/>
                </a:cxn>
                <a:cxn ang="T84">
                  <a:pos x="T28" y="T29"/>
                </a:cxn>
                <a:cxn ang="T85">
                  <a:pos x="T30" y="T31"/>
                </a:cxn>
                <a:cxn ang="T86">
                  <a:pos x="T32" y="T33"/>
                </a:cxn>
                <a:cxn ang="T87">
                  <a:pos x="T34" y="T35"/>
                </a:cxn>
                <a:cxn ang="T88">
                  <a:pos x="T36" y="T37"/>
                </a:cxn>
                <a:cxn ang="T89">
                  <a:pos x="T38" y="T39"/>
                </a:cxn>
                <a:cxn ang="T90">
                  <a:pos x="T40" y="T41"/>
                </a:cxn>
                <a:cxn ang="T91">
                  <a:pos x="T42" y="T43"/>
                </a:cxn>
                <a:cxn ang="T92">
                  <a:pos x="T44" y="T45"/>
                </a:cxn>
                <a:cxn ang="T93">
                  <a:pos x="T46" y="T47"/>
                </a:cxn>
                <a:cxn ang="T94">
                  <a:pos x="T48" y="T49"/>
                </a:cxn>
                <a:cxn ang="T95">
                  <a:pos x="T50" y="T51"/>
                </a:cxn>
                <a:cxn ang="T96">
                  <a:pos x="T52" y="T53"/>
                </a:cxn>
                <a:cxn ang="T97">
                  <a:pos x="T54" y="T55"/>
                </a:cxn>
                <a:cxn ang="T98">
                  <a:pos x="T56" y="T57"/>
                </a:cxn>
                <a:cxn ang="T99">
                  <a:pos x="T58" y="T59"/>
                </a:cxn>
                <a:cxn ang="T100">
                  <a:pos x="T60" y="T61"/>
                </a:cxn>
                <a:cxn ang="T101">
                  <a:pos x="T62" y="T63"/>
                </a:cxn>
                <a:cxn ang="T102">
                  <a:pos x="T64" y="T65"/>
                </a:cxn>
                <a:cxn ang="T103">
                  <a:pos x="T66" y="T67"/>
                </a:cxn>
                <a:cxn ang="T104">
                  <a:pos x="T68" y="T69"/>
                </a:cxn>
              </a:cxnLst>
              <a:rect l="T105" t="T106" r="T107" b="T108"/>
              <a:pathLst>
                <a:path w="21" h="25">
                  <a:moveTo>
                    <a:pt x="10" y="13"/>
                  </a:moveTo>
                  <a:lnTo>
                    <a:pt x="8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0" y="25"/>
                  </a:ln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5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15" y="0"/>
                  </a:lnTo>
                  <a:lnTo>
                    <a:pt x="16" y="0"/>
                  </a:lnTo>
                  <a:lnTo>
                    <a:pt x="17" y="0"/>
                  </a:lnTo>
                  <a:lnTo>
                    <a:pt x="18" y="0"/>
                  </a:lnTo>
                  <a:lnTo>
                    <a:pt x="19" y="0"/>
                  </a:lnTo>
                  <a:lnTo>
                    <a:pt x="20" y="2"/>
                  </a:lnTo>
                  <a:lnTo>
                    <a:pt x="21" y="3"/>
                  </a:lnTo>
                  <a:lnTo>
                    <a:pt x="21" y="5"/>
                  </a:lnTo>
                  <a:lnTo>
                    <a:pt x="21" y="6"/>
                  </a:lnTo>
                  <a:lnTo>
                    <a:pt x="21" y="8"/>
                  </a:lnTo>
                  <a:lnTo>
                    <a:pt x="21" y="9"/>
                  </a:lnTo>
                  <a:lnTo>
                    <a:pt x="20" y="11"/>
                  </a:lnTo>
                  <a:lnTo>
                    <a:pt x="19" y="11"/>
                  </a:lnTo>
                  <a:lnTo>
                    <a:pt x="18" y="12"/>
                  </a:lnTo>
                  <a:lnTo>
                    <a:pt x="17" y="12"/>
                  </a:lnTo>
                  <a:lnTo>
                    <a:pt x="17" y="13"/>
                  </a:lnTo>
                  <a:lnTo>
                    <a:pt x="16" y="13"/>
                  </a:lnTo>
                  <a:lnTo>
                    <a:pt x="18" y="21"/>
                  </a:lnTo>
                  <a:lnTo>
                    <a:pt x="19" y="22"/>
                  </a:lnTo>
                  <a:lnTo>
                    <a:pt x="19" y="24"/>
                  </a:lnTo>
                  <a:lnTo>
                    <a:pt x="20" y="24"/>
                  </a:lnTo>
                  <a:lnTo>
                    <a:pt x="21" y="24"/>
                  </a:lnTo>
                  <a:lnTo>
                    <a:pt x="21" y="25"/>
                  </a:lnTo>
                  <a:lnTo>
                    <a:pt x="15" y="25"/>
                  </a:lnTo>
                  <a:lnTo>
                    <a:pt x="12" y="13"/>
                  </a:lnTo>
                  <a:lnTo>
                    <a:pt x="11" y="13"/>
                  </a:lnTo>
                  <a:lnTo>
                    <a:pt x="10" y="13"/>
                  </a:lnTo>
                  <a:close/>
                  <a:moveTo>
                    <a:pt x="10" y="12"/>
                  </a:moveTo>
                  <a:lnTo>
                    <a:pt x="11" y="12"/>
                  </a:lnTo>
                  <a:lnTo>
                    <a:pt x="12" y="12"/>
                  </a:lnTo>
                  <a:lnTo>
                    <a:pt x="13" y="12"/>
                  </a:lnTo>
                  <a:lnTo>
                    <a:pt x="14" y="12"/>
                  </a:lnTo>
                  <a:lnTo>
                    <a:pt x="14" y="11"/>
                  </a:lnTo>
                  <a:lnTo>
                    <a:pt x="15" y="11"/>
                  </a:lnTo>
                  <a:lnTo>
                    <a:pt x="16" y="11"/>
                  </a:lnTo>
                  <a:lnTo>
                    <a:pt x="16" y="9"/>
                  </a:lnTo>
                  <a:lnTo>
                    <a:pt x="17" y="9"/>
                  </a:lnTo>
                  <a:lnTo>
                    <a:pt x="17" y="8"/>
                  </a:lnTo>
                  <a:lnTo>
                    <a:pt x="17" y="6"/>
                  </a:lnTo>
                  <a:lnTo>
                    <a:pt x="17" y="5"/>
                  </a:lnTo>
                  <a:lnTo>
                    <a:pt x="17" y="3"/>
                  </a:lnTo>
                  <a:lnTo>
                    <a:pt x="16" y="3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3" y="2"/>
                  </a:lnTo>
                  <a:lnTo>
                    <a:pt x="10" y="12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4" name="Freeform 33"/>
            <xdr:cNvSpPr>
              <a:spLocks/>
            </xdr:cNvSpPr>
          </xdr:nvSpPr>
          <xdr:spPr bwMode="auto">
            <a:xfrm>
              <a:off x="597" y="177"/>
              <a:ext cx="3" cy="4"/>
            </a:xfrm>
            <a:custGeom>
              <a:avLst/>
              <a:gdLst>
                <a:gd name="T0" fmla="*/ 1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1 w 3"/>
                <a:gd name="T15" fmla="*/ 4 h 4"/>
                <a:gd name="T16" fmla="*/ 0 w 3"/>
                <a:gd name="T17" fmla="*/ 4 h 4"/>
                <a:gd name="T18" fmla="*/ 0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0 w 3"/>
                <a:gd name="T25" fmla="*/ 1 h 4"/>
                <a:gd name="T26" fmla="*/ 0 w 3"/>
                <a:gd name="T27" fmla="*/ 0 h 4"/>
                <a:gd name="T28" fmla="*/ 1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1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3"/>
                  </a:lnTo>
                  <a:lnTo>
                    <a:pt x="0" y="1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5" name="Freeform 34"/>
            <xdr:cNvSpPr>
              <a:spLocks/>
            </xdr:cNvSpPr>
          </xdr:nvSpPr>
          <xdr:spPr bwMode="auto">
            <a:xfrm>
              <a:off x="604" y="156"/>
              <a:ext cx="19" cy="25"/>
            </a:xfrm>
            <a:custGeom>
              <a:avLst/>
              <a:gdLst>
                <a:gd name="T0" fmla="*/ 17 w 19"/>
                <a:gd name="T1" fmla="*/ 25 h 25"/>
                <a:gd name="T2" fmla="*/ 0 w 19"/>
                <a:gd name="T3" fmla="*/ 25 h 25"/>
                <a:gd name="T4" fmla="*/ 0 w 19"/>
                <a:gd name="T5" fmla="*/ 24 h 25"/>
                <a:gd name="T6" fmla="*/ 1 w 19"/>
                <a:gd name="T7" fmla="*/ 24 h 25"/>
                <a:gd name="T8" fmla="*/ 2 w 19"/>
                <a:gd name="T9" fmla="*/ 24 h 25"/>
                <a:gd name="T10" fmla="*/ 3 w 19"/>
                <a:gd name="T11" fmla="*/ 24 h 25"/>
                <a:gd name="T12" fmla="*/ 4 w 19"/>
                <a:gd name="T13" fmla="*/ 22 h 25"/>
                <a:gd name="T14" fmla="*/ 4 w 19"/>
                <a:gd name="T15" fmla="*/ 21 h 25"/>
                <a:gd name="T16" fmla="*/ 8 w 19"/>
                <a:gd name="T17" fmla="*/ 6 h 25"/>
                <a:gd name="T18" fmla="*/ 8 w 19"/>
                <a:gd name="T19" fmla="*/ 5 h 25"/>
                <a:gd name="T20" fmla="*/ 8 w 19"/>
                <a:gd name="T21" fmla="*/ 3 h 25"/>
                <a:gd name="T22" fmla="*/ 7 w 19"/>
                <a:gd name="T23" fmla="*/ 2 h 25"/>
                <a:gd name="T24" fmla="*/ 7 w 19"/>
                <a:gd name="T25" fmla="*/ 2 h 25"/>
                <a:gd name="T26" fmla="*/ 6 w 19"/>
                <a:gd name="T27" fmla="*/ 2 h 25"/>
                <a:gd name="T28" fmla="*/ 7 w 19"/>
                <a:gd name="T29" fmla="*/ 0 h 25"/>
                <a:gd name="T30" fmla="*/ 16 w 19"/>
                <a:gd name="T31" fmla="*/ 0 h 25"/>
                <a:gd name="T32" fmla="*/ 15 w 19"/>
                <a:gd name="T33" fmla="*/ 2 h 25"/>
                <a:gd name="T34" fmla="*/ 14 w 19"/>
                <a:gd name="T35" fmla="*/ 2 h 25"/>
                <a:gd name="T36" fmla="*/ 14 w 19"/>
                <a:gd name="T37" fmla="*/ 3 h 25"/>
                <a:gd name="T38" fmla="*/ 14 w 19"/>
                <a:gd name="T39" fmla="*/ 5 h 25"/>
                <a:gd name="T40" fmla="*/ 13 w 19"/>
                <a:gd name="T41" fmla="*/ 5 h 25"/>
                <a:gd name="T42" fmla="*/ 13 w 19"/>
                <a:gd name="T43" fmla="*/ 6 h 25"/>
                <a:gd name="T44" fmla="*/ 9 w 19"/>
                <a:gd name="T45" fmla="*/ 21 h 25"/>
                <a:gd name="T46" fmla="*/ 8 w 19"/>
                <a:gd name="T47" fmla="*/ 22 h 25"/>
                <a:gd name="T48" fmla="*/ 8 w 19"/>
                <a:gd name="T49" fmla="*/ 24 h 25"/>
                <a:gd name="T50" fmla="*/ 9 w 19"/>
                <a:gd name="T51" fmla="*/ 24 h 25"/>
                <a:gd name="T52" fmla="*/ 10 w 19"/>
                <a:gd name="T53" fmla="*/ 24 h 25"/>
                <a:gd name="T54" fmla="*/ 11 w 19"/>
                <a:gd name="T55" fmla="*/ 24 h 25"/>
                <a:gd name="T56" fmla="*/ 12 w 19"/>
                <a:gd name="T57" fmla="*/ 24 h 25"/>
                <a:gd name="T58" fmla="*/ 13 w 19"/>
                <a:gd name="T59" fmla="*/ 24 h 25"/>
                <a:gd name="T60" fmla="*/ 14 w 19"/>
                <a:gd name="T61" fmla="*/ 24 h 25"/>
                <a:gd name="T62" fmla="*/ 14 w 19"/>
                <a:gd name="T63" fmla="*/ 24 h 25"/>
                <a:gd name="T64" fmla="*/ 15 w 19"/>
                <a:gd name="T65" fmla="*/ 22 h 25"/>
                <a:gd name="T66" fmla="*/ 16 w 19"/>
                <a:gd name="T67" fmla="*/ 21 h 25"/>
                <a:gd name="T68" fmla="*/ 17 w 19"/>
                <a:gd name="T69" fmla="*/ 21 h 25"/>
                <a:gd name="T70" fmla="*/ 18 w 19"/>
                <a:gd name="T71" fmla="*/ 19 h 25"/>
                <a:gd name="T72" fmla="*/ 19 w 19"/>
                <a:gd name="T73" fmla="*/ 19 h 25"/>
                <a:gd name="T74" fmla="*/ 17 w 19"/>
                <a:gd name="T75" fmla="*/ 25 h 25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w 19"/>
                <a:gd name="T115" fmla="*/ 0 h 25"/>
                <a:gd name="T116" fmla="*/ 19 w 19"/>
                <a:gd name="T117" fmla="*/ 25 h 25"/>
              </a:gdLst>
              <a:ahLst/>
              <a:cxnLst>
                <a:cxn ang="T76">
                  <a:pos x="T0" y="T1"/>
                </a:cxn>
                <a:cxn ang="T77">
                  <a:pos x="T2" y="T3"/>
                </a:cxn>
                <a:cxn ang="T78">
                  <a:pos x="T4" y="T5"/>
                </a:cxn>
                <a:cxn ang="T79">
                  <a:pos x="T6" y="T7"/>
                </a:cxn>
                <a:cxn ang="T80">
                  <a:pos x="T8" y="T9"/>
                </a:cxn>
                <a:cxn ang="T81">
                  <a:pos x="T10" y="T11"/>
                </a:cxn>
                <a:cxn ang="T82">
                  <a:pos x="T12" y="T13"/>
                </a:cxn>
                <a:cxn ang="T83">
                  <a:pos x="T14" y="T15"/>
                </a:cxn>
                <a:cxn ang="T84">
                  <a:pos x="T16" y="T17"/>
                </a:cxn>
                <a:cxn ang="T85">
                  <a:pos x="T18" y="T19"/>
                </a:cxn>
                <a:cxn ang="T86">
                  <a:pos x="T20" y="T21"/>
                </a:cxn>
                <a:cxn ang="T87">
                  <a:pos x="T22" y="T23"/>
                </a:cxn>
                <a:cxn ang="T88">
                  <a:pos x="T24" y="T25"/>
                </a:cxn>
                <a:cxn ang="T89">
                  <a:pos x="T26" y="T27"/>
                </a:cxn>
                <a:cxn ang="T90">
                  <a:pos x="T28" y="T29"/>
                </a:cxn>
                <a:cxn ang="T91">
                  <a:pos x="T30" y="T31"/>
                </a:cxn>
                <a:cxn ang="T92">
                  <a:pos x="T32" y="T33"/>
                </a:cxn>
                <a:cxn ang="T93">
                  <a:pos x="T34" y="T35"/>
                </a:cxn>
                <a:cxn ang="T94">
                  <a:pos x="T36" y="T37"/>
                </a:cxn>
                <a:cxn ang="T95">
                  <a:pos x="T38" y="T39"/>
                </a:cxn>
                <a:cxn ang="T96">
                  <a:pos x="T40" y="T41"/>
                </a:cxn>
                <a:cxn ang="T97">
                  <a:pos x="T42" y="T43"/>
                </a:cxn>
                <a:cxn ang="T98">
                  <a:pos x="T44" y="T45"/>
                </a:cxn>
                <a:cxn ang="T99">
                  <a:pos x="T46" y="T47"/>
                </a:cxn>
                <a:cxn ang="T100">
                  <a:pos x="T48" y="T49"/>
                </a:cxn>
                <a:cxn ang="T101">
                  <a:pos x="T50" y="T51"/>
                </a:cxn>
                <a:cxn ang="T102">
                  <a:pos x="T52" y="T53"/>
                </a:cxn>
                <a:cxn ang="T103">
                  <a:pos x="T54" y="T55"/>
                </a:cxn>
                <a:cxn ang="T104">
                  <a:pos x="T56" y="T57"/>
                </a:cxn>
                <a:cxn ang="T105">
                  <a:pos x="T58" y="T59"/>
                </a:cxn>
                <a:cxn ang="T106">
                  <a:pos x="T60" y="T61"/>
                </a:cxn>
                <a:cxn ang="T107">
                  <a:pos x="T62" y="T63"/>
                </a:cxn>
                <a:cxn ang="T108">
                  <a:pos x="T64" y="T65"/>
                </a:cxn>
                <a:cxn ang="T109">
                  <a:pos x="T66" y="T67"/>
                </a:cxn>
                <a:cxn ang="T110">
                  <a:pos x="T68" y="T69"/>
                </a:cxn>
                <a:cxn ang="T111">
                  <a:pos x="T70" y="T71"/>
                </a:cxn>
                <a:cxn ang="T112">
                  <a:pos x="T72" y="T73"/>
                </a:cxn>
                <a:cxn ang="T113">
                  <a:pos x="T74" y="T75"/>
                </a:cxn>
              </a:cxnLst>
              <a:rect l="T114" t="T115" r="T116" b="T117"/>
              <a:pathLst>
                <a:path w="19" h="25">
                  <a:moveTo>
                    <a:pt x="17" y="25"/>
                  </a:moveTo>
                  <a:lnTo>
                    <a:pt x="0" y="25"/>
                  </a:lnTo>
                  <a:lnTo>
                    <a:pt x="0" y="24"/>
                  </a:lnTo>
                  <a:lnTo>
                    <a:pt x="1" y="24"/>
                  </a:lnTo>
                  <a:lnTo>
                    <a:pt x="2" y="24"/>
                  </a:lnTo>
                  <a:lnTo>
                    <a:pt x="3" y="24"/>
                  </a:lnTo>
                  <a:lnTo>
                    <a:pt x="4" y="22"/>
                  </a:lnTo>
                  <a:lnTo>
                    <a:pt x="4" y="21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7" y="0"/>
                  </a:lnTo>
                  <a:lnTo>
                    <a:pt x="16" y="0"/>
                  </a:lnTo>
                  <a:lnTo>
                    <a:pt x="15" y="2"/>
                  </a:lnTo>
                  <a:lnTo>
                    <a:pt x="14" y="2"/>
                  </a:lnTo>
                  <a:lnTo>
                    <a:pt x="14" y="3"/>
                  </a:lnTo>
                  <a:lnTo>
                    <a:pt x="14" y="5"/>
                  </a:lnTo>
                  <a:lnTo>
                    <a:pt x="13" y="5"/>
                  </a:lnTo>
                  <a:lnTo>
                    <a:pt x="13" y="6"/>
                  </a:lnTo>
                  <a:lnTo>
                    <a:pt x="9" y="21"/>
                  </a:lnTo>
                  <a:lnTo>
                    <a:pt x="8" y="22"/>
                  </a:lnTo>
                  <a:lnTo>
                    <a:pt x="8" y="24"/>
                  </a:lnTo>
                  <a:lnTo>
                    <a:pt x="9" y="24"/>
                  </a:lnTo>
                  <a:lnTo>
                    <a:pt x="10" y="24"/>
                  </a:lnTo>
                  <a:lnTo>
                    <a:pt x="11" y="24"/>
                  </a:lnTo>
                  <a:lnTo>
                    <a:pt x="12" y="24"/>
                  </a:lnTo>
                  <a:lnTo>
                    <a:pt x="13" y="24"/>
                  </a:lnTo>
                  <a:lnTo>
                    <a:pt x="14" y="24"/>
                  </a:lnTo>
                  <a:lnTo>
                    <a:pt x="15" y="22"/>
                  </a:lnTo>
                  <a:lnTo>
                    <a:pt x="16" y="21"/>
                  </a:lnTo>
                  <a:lnTo>
                    <a:pt x="17" y="21"/>
                  </a:lnTo>
                  <a:lnTo>
                    <a:pt x="18" y="19"/>
                  </a:lnTo>
                  <a:lnTo>
                    <a:pt x="19" y="19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6" name="Freeform 35"/>
            <xdr:cNvSpPr>
              <a:spLocks/>
            </xdr:cNvSpPr>
          </xdr:nvSpPr>
          <xdr:spPr bwMode="auto">
            <a:xfrm>
              <a:off x="623" y="177"/>
              <a:ext cx="3" cy="4"/>
            </a:xfrm>
            <a:custGeom>
              <a:avLst/>
              <a:gdLst>
                <a:gd name="T0" fmla="*/ 2 w 3"/>
                <a:gd name="T1" fmla="*/ 0 h 4"/>
                <a:gd name="T2" fmla="*/ 2 w 3"/>
                <a:gd name="T3" fmla="*/ 0 h 4"/>
                <a:gd name="T4" fmla="*/ 2 w 3"/>
                <a:gd name="T5" fmla="*/ 1 h 4"/>
                <a:gd name="T6" fmla="*/ 3 w 3"/>
                <a:gd name="T7" fmla="*/ 1 h 4"/>
                <a:gd name="T8" fmla="*/ 3 w 3"/>
                <a:gd name="T9" fmla="*/ 3 h 4"/>
                <a:gd name="T10" fmla="*/ 2 w 3"/>
                <a:gd name="T11" fmla="*/ 3 h 4"/>
                <a:gd name="T12" fmla="*/ 2 w 3"/>
                <a:gd name="T13" fmla="*/ 4 h 4"/>
                <a:gd name="T14" fmla="*/ 2 w 3"/>
                <a:gd name="T15" fmla="*/ 4 h 4"/>
                <a:gd name="T16" fmla="*/ 1 w 3"/>
                <a:gd name="T17" fmla="*/ 4 h 4"/>
                <a:gd name="T18" fmla="*/ 1 w 3"/>
                <a:gd name="T19" fmla="*/ 3 h 4"/>
                <a:gd name="T20" fmla="*/ 0 w 3"/>
                <a:gd name="T21" fmla="*/ 3 h 4"/>
                <a:gd name="T22" fmla="*/ 0 w 3"/>
                <a:gd name="T23" fmla="*/ 1 h 4"/>
                <a:gd name="T24" fmla="*/ 1 w 3"/>
                <a:gd name="T25" fmla="*/ 1 h 4"/>
                <a:gd name="T26" fmla="*/ 1 w 3"/>
                <a:gd name="T27" fmla="*/ 0 h 4"/>
                <a:gd name="T28" fmla="*/ 2 w 3"/>
                <a:gd name="T29" fmla="*/ 0 h 4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w 3"/>
                <a:gd name="T46" fmla="*/ 0 h 4"/>
                <a:gd name="T47" fmla="*/ 3 w 3"/>
                <a:gd name="T48" fmla="*/ 4 h 4"/>
              </a:gdLst>
              <a:ahLst/>
              <a:cxnLst>
                <a:cxn ang="T30">
                  <a:pos x="T0" y="T1"/>
                </a:cxn>
                <a:cxn ang="T31">
                  <a:pos x="T2" y="T3"/>
                </a:cxn>
                <a:cxn ang="T32">
                  <a:pos x="T4" y="T5"/>
                </a:cxn>
                <a:cxn ang="T33">
                  <a:pos x="T6" y="T7"/>
                </a:cxn>
                <a:cxn ang="T34">
                  <a:pos x="T8" y="T9"/>
                </a:cxn>
                <a:cxn ang="T35">
                  <a:pos x="T10" y="T11"/>
                </a:cxn>
                <a:cxn ang="T36">
                  <a:pos x="T12" y="T13"/>
                </a:cxn>
                <a:cxn ang="T37">
                  <a:pos x="T14" y="T15"/>
                </a:cxn>
                <a:cxn ang="T38">
                  <a:pos x="T16" y="T17"/>
                </a:cxn>
                <a:cxn ang="T39">
                  <a:pos x="T18" y="T19"/>
                </a:cxn>
                <a:cxn ang="T40">
                  <a:pos x="T20" y="T21"/>
                </a:cxn>
                <a:cxn ang="T41">
                  <a:pos x="T22" y="T23"/>
                </a:cxn>
                <a:cxn ang="T42">
                  <a:pos x="T24" y="T25"/>
                </a:cxn>
                <a:cxn ang="T43">
                  <a:pos x="T26" y="T27"/>
                </a:cxn>
                <a:cxn ang="T44">
                  <a:pos x="T28" y="T29"/>
                </a:cxn>
              </a:cxnLst>
              <a:rect l="T45" t="T46" r="T47" b="T48"/>
              <a:pathLst>
                <a:path w="3" h="4">
                  <a:moveTo>
                    <a:pt x="2" y="0"/>
                  </a:moveTo>
                  <a:lnTo>
                    <a:pt x="2" y="0"/>
                  </a:lnTo>
                  <a:lnTo>
                    <a:pt x="2" y="1"/>
                  </a:lnTo>
                  <a:lnTo>
                    <a:pt x="3" y="1"/>
                  </a:lnTo>
                  <a:lnTo>
                    <a:pt x="3" y="3"/>
                  </a:lnTo>
                  <a:lnTo>
                    <a:pt x="2" y="3"/>
                  </a:lnTo>
                  <a:lnTo>
                    <a:pt x="2" y="4"/>
                  </a:lnTo>
                  <a:lnTo>
                    <a:pt x="1" y="4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1"/>
                  </a:lnTo>
                  <a:lnTo>
                    <a:pt x="1" y="1"/>
                  </a:lnTo>
                  <a:lnTo>
                    <a:pt x="1" y="0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val="25221E"/>
            </a:solidFill>
            <a:ln w="0">
              <a:solidFill>
                <a:srgbClr val="25221E"/>
              </a:solidFill>
              <a:round/>
              <a:headEnd/>
              <a:tailEnd/>
            </a:ln>
          </xdr:spPr>
        </xdr:sp>
        <xdr:sp macro="" textlink="">
          <xdr:nvSpPr>
            <xdr:cNvPr id="87" name="Freeform 36"/>
            <xdr:cNvSpPr>
              <a:spLocks/>
            </xdr:cNvSpPr>
          </xdr:nvSpPr>
          <xdr:spPr bwMode="auto">
            <a:xfrm>
              <a:off x="116" y="281"/>
              <a:ext cx="431" cy="4"/>
            </a:xfrm>
            <a:custGeom>
              <a:avLst/>
              <a:gdLst>
                <a:gd name="T0" fmla="*/ 431 w 431"/>
                <a:gd name="T1" fmla="*/ 1 h 4"/>
                <a:gd name="T2" fmla="*/ 431 w 431"/>
                <a:gd name="T3" fmla="*/ 0 h 4"/>
                <a:gd name="T4" fmla="*/ 0 w 431"/>
                <a:gd name="T5" fmla="*/ 0 h 4"/>
                <a:gd name="T6" fmla="*/ 0 w 431"/>
                <a:gd name="T7" fmla="*/ 4 h 4"/>
                <a:gd name="T8" fmla="*/ 431 w 431"/>
                <a:gd name="T9" fmla="*/ 4 h 4"/>
                <a:gd name="T10" fmla="*/ 431 w 43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31"/>
                <a:gd name="T19" fmla="*/ 0 h 4"/>
                <a:gd name="T20" fmla="*/ 431 w 43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31" h="4">
                  <a:moveTo>
                    <a:pt x="431" y="1"/>
                  </a:moveTo>
                  <a:lnTo>
                    <a:pt x="43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31" y="4"/>
                  </a:lnTo>
                  <a:lnTo>
                    <a:pt x="43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8" name="Freeform 37"/>
            <xdr:cNvSpPr>
              <a:spLocks/>
            </xdr:cNvSpPr>
          </xdr:nvSpPr>
          <xdr:spPr bwMode="auto">
            <a:xfrm>
              <a:off x="618" y="238"/>
              <a:ext cx="11" cy="4"/>
            </a:xfrm>
            <a:custGeom>
              <a:avLst/>
              <a:gdLst>
                <a:gd name="T0" fmla="*/ 11 w 11"/>
                <a:gd name="T1" fmla="*/ 1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1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89" name="Freeform 38"/>
            <xdr:cNvSpPr>
              <a:spLocks/>
            </xdr:cNvSpPr>
          </xdr:nvSpPr>
          <xdr:spPr bwMode="auto">
            <a:xfrm>
              <a:off x="607" y="222"/>
              <a:ext cx="12" cy="18"/>
            </a:xfrm>
            <a:custGeom>
              <a:avLst/>
              <a:gdLst>
                <a:gd name="T0" fmla="*/ 1 w 12"/>
                <a:gd name="T1" fmla="*/ 1 h 18"/>
                <a:gd name="T2" fmla="*/ 0 w 12"/>
                <a:gd name="T3" fmla="*/ 3 h 18"/>
                <a:gd name="T4" fmla="*/ 10 w 12"/>
                <a:gd name="T5" fmla="*/ 18 h 18"/>
                <a:gd name="T6" fmla="*/ 12 w 12"/>
                <a:gd name="T7" fmla="*/ 16 h 18"/>
                <a:gd name="T8" fmla="*/ 2 w 12"/>
                <a:gd name="T9" fmla="*/ 0 h 18"/>
                <a:gd name="T10" fmla="*/ 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" y="1"/>
                  </a:moveTo>
                  <a:lnTo>
                    <a:pt x="0" y="3"/>
                  </a:lnTo>
                  <a:lnTo>
                    <a:pt x="10" y="18"/>
                  </a:lnTo>
                  <a:lnTo>
                    <a:pt x="12" y="16"/>
                  </a:lnTo>
                  <a:lnTo>
                    <a:pt x="2" y="0"/>
                  </a:lnTo>
                  <a:lnTo>
                    <a:pt x="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0" name="Freeform 39"/>
            <xdr:cNvSpPr>
              <a:spLocks/>
            </xdr:cNvSpPr>
          </xdr:nvSpPr>
          <xdr:spPr bwMode="auto">
            <a:xfrm>
              <a:off x="554" y="206"/>
              <a:ext cx="75" cy="4"/>
            </a:xfrm>
            <a:custGeom>
              <a:avLst/>
              <a:gdLst>
                <a:gd name="T0" fmla="*/ 0 w 75"/>
                <a:gd name="T1" fmla="*/ 1 h 4"/>
                <a:gd name="T2" fmla="*/ 0 w 75"/>
                <a:gd name="T3" fmla="*/ 4 h 4"/>
                <a:gd name="T4" fmla="*/ 75 w 75"/>
                <a:gd name="T5" fmla="*/ 4 h 4"/>
                <a:gd name="T6" fmla="*/ 75 w 75"/>
                <a:gd name="T7" fmla="*/ 0 h 4"/>
                <a:gd name="T8" fmla="*/ 0 w 75"/>
                <a:gd name="T9" fmla="*/ 0 h 4"/>
                <a:gd name="T10" fmla="*/ 0 w 75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4"/>
                <a:gd name="T20" fmla="*/ 75 w 75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4">
                  <a:moveTo>
                    <a:pt x="0" y="1"/>
                  </a:moveTo>
                  <a:lnTo>
                    <a:pt x="0" y="4"/>
                  </a:lnTo>
                  <a:lnTo>
                    <a:pt x="75" y="4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1" name="Freeform 40"/>
            <xdr:cNvSpPr>
              <a:spLocks/>
            </xdr:cNvSpPr>
          </xdr:nvSpPr>
          <xdr:spPr bwMode="auto">
            <a:xfrm>
              <a:off x="628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2" name="Freeform 41"/>
            <xdr:cNvSpPr>
              <a:spLocks/>
            </xdr:cNvSpPr>
          </xdr:nvSpPr>
          <xdr:spPr bwMode="auto">
            <a:xfrm>
              <a:off x="597" y="222"/>
              <a:ext cx="12" cy="18"/>
            </a:xfrm>
            <a:custGeom>
              <a:avLst/>
              <a:gdLst>
                <a:gd name="T0" fmla="*/ 11 w 12"/>
                <a:gd name="T1" fmla="*/ 1 h 18"/>
                <a:gd name="T2" fmla="*/ 10 w 12"/>
                <a:gd name="T3" fmla="*/ 0 h 18"/>
                <a:gd name="T4" fmla="*/ 0 w 12"/>
                <a:gd name="T5" fmla="*/ 16 h 18"/>
                <a:gd name="T6" fmla="*/ 1 w 12"/>
                <a:gd name="T7" fmla="*/ 18 h 18"/>
                <a:gd name="T8" fmla="*/ 12 w 12"/>
                <a:gd name="T9" fmla="*/ 3 h 18"/>
                <a:gd name="T10" fmla="*/ 11 w 12"/>
                <a:gd name="T11" fmla="*/ 1 h 18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18"/>
                <a:gd name="T20" fmla="*/ 12 w 12"/>
                <a:gd name="T21" fmla="*/ 18 h 18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18">
                  <a:moveTo>
                    <a:pt x="11" y="1"/>
                  </a:move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lnTo>
                    <a:pt x="12" y="3"/>
                  </a:lnTo>
                  <a:lnTo>
                    <a:pt x="11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3" name="Freeform 42"/>
            <xdr:cNvSpPr>
              <a:spLocks/>
            </xdr:cNvSpPr>
          </xdr:nvSpPr>
          <xdr:spPr bwMode="auto">
            <a:xfrm>
              <a:off x="553" y="238"/>
              <a:ext cx="44" cy="4"/>
            </a:xfrm>
            <a:custGeom>
              <a:avLst/>
              <a:gdLst>
                <a:gd name="T0" fmla="*/ 44 w 44"/>
                <a:gd name="T1" fmla="*/ 1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1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1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4" name="Freeform 43"/>
            <xdr:cNvSpPr>
              <a:spLocks/>
            </xdr:cNvSpPr>
          </xdr:nvSpPr>
          <xdr:spPr bwMode="auto">
            <a:xfrm>
              <a:off x="552" y="207"/>
              <a:ext cx="3" cy="32"/>
            </a:xfrm>
            <a:custGeom>
              <a:avLst/>
              <a:gdLst>
                <a:gd name="T0" fmla="*/ 1 w 3"/>
                <a:gd name="T1" fmla="*/ 0 h 32"/>
                <a:gd name="T2" fmla="*/ 0 w 3"/>
                <a:gd name="T3" fmla="*/ 0 h 32"/>
                <a:gd name="T4" fmla="*/ 0 w 3"/>
                <a:gd name="T5" fmla="*/ 32 h 32"/>
                <a:gd name="T6" fmla="*/ 3 w 3"/>
                <a:gd name="T7" fmla="*/ 32 h 32"/>
                <a:gd name="T8" fmla="*/ 3 w 3"/>
                <a:gd name="T9" fmla="*/ 0 h 32"/>
                <a:gd name="T10" fmla="*/ 1 w 3"/>
                <a:gd name="T11" fmla="*/ 0 h 32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2"/>
                <a:gd name="T20" fmla="*/ 3 w 3"/>
                <a:gd name="T21" fmla="*/ 32 h 32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2">
                  <a:moveTo>
                    <a:pt x="1" y="0"/>
                  </a:moveTo>
                  <a:lnTo>
                    <a:pt x="0" y="0"/>
                  </a:lnTo>
                  <a:lnTo>
                    <a:pt x="0" y="32"/>
                  </a:lnTo>
                  <a:lnTo>
                    <a:pt x="3" y="32"/>
                  </a:lnTo>
                  <a:lnTo>
                    <a:pt x="3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5" name="Freeform 44"/>
            <xdr:cNvSpPr>
              <a:spLocks/>
            </xdr:cNvSpPr>
          </xdr:nvSpPr>
          <xdr:spPr bwMode="auto">
            <a:xfrm>
              <a:off x="618" y="248"/>
              <a:ext cx="11" cy="4"/>
            </a:xfrm>
            <a:custGeom>
              <a:avLst/>
              <a:gdLst>
                <a:gd name="T0" fmla="*/ 11 w 11"/>
                <a:gd name="T1" fmla="*/ 3 h 4"/>
                <a:gd name="T2" fmla="*/ 11 w 11"/>
                <a:gd name="T3" fmla="*/ 0 h 4"/>
                <a:gd name="T4" fmla="*/ 0 w 11"/>
                <a:gd name="T5" fmla="*/ 0 h 4"/>
                <a:gd name="T6" fmla="*/ 0 w 11"/>
                <a:gd name="T7" fmla="*/ 4 h 4"/>
                <a:gd name="T8" fmla="*/ 11 w 11"/>
                <a:gd name="T9" fmla="*/ 4 h 4"/>
                <a:gd name="T10" fmla="*/ 11 w 11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1"/>
                <a:gd name="T19" fmla="*/ 0 h 4"/>
                <a:gd name="T20" fmla="*/ 11 w 11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1" h="4">
                  <a:moveTo>
                    <a:pt x="11" y="3"/>
                  </a:moveTo>
                  <a:lnTo>
                    <a:pt x="11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11" y="4"/>
                  </a:lnTo>
                  <a:lnTo>
                    <a:pt x="11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6" name="Freeform 45"/>
            <xdr:cNvSpPr>
              <a:spLocks/>
            </xdr:cNvSpPr>
          </xdr:nvSpPr>
          <xdr:spPr bwMode="auto">
            <a:xfrm>
              <a:off x="607" y="249"/>
              <a:ext cx="12" cy="20"/>
            </a:xfrm>
            <a:custGeom>
              <a:avLst/>
              <a:gdLst>
                <a:gd name="T0" fmla="*/ 1 w 12"/>
                <a:gd name="T1" fmla="*/ 18 h 20"/>
                <a:gd name="T2" fmla="*/ 2 w 12"/>
                <a:gd name="T3" fmla="*/ 20 h 20"/>
                <a:gd name="T4" fmla="*/ 12 w 12"/>
                <a:gd name="T5" fmla="*/ 3 h 20"/>
                <a:gd name="T6" fmla="*/ 10 w 12"/>
                <a:gd name="T7" fmla="*/ 0 h 20"/>
                <a:gd name="T8" fmla="*/ 0 w 12"/>
                <a:gd name="T9" fmla="*/ 16 h 20"/>
                <a:gd name="T10" fmla="*/ 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" y="18"/>
                  </a:moveTo>
                  <a:lnTo>
                    <a:pt x="2" y="20"/>
                  </a:lnTo>
                  <a:lnTo>
                    <a:pt x="12" y="3"/>
                  </a:lnTo>
                  <a:lnTo>
                    <a:pt x="10" y="0"/>
                  </a:lnTo>
                  <a:lnTo>
                    <a:pt x="0" y="16"/>
                  </a:lnTo>
                  <a:lnTo>
                    <a:pt x="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7" name="Freeform 46"/>
            <xdr:cNvSpPr>
              <a:spLocks/>
            </xdr:cNvSpPr>
          </xdr:nvSpPr>
          <xdr:spPr bwMode="auto">
            <a:xfrm>
              <a:off x="554" y="280"/>
              <a:ext cx="75" cy="5"/>
            </a:xfrm>
            <a:custGeom>
              <a:avLst/>
              <a:gdLst>
                <a:gd name="T0" fmla="*/ 0 w 75"/>
                <a:gd name="T1" fmla="*/ 2 h 5"/>
                <a:gd name="T2" fmla="*/ 0 w 75"/>
                <a:gd name="T3" fmla="*/ 5 h 5"/>
                <a:gd name="T4" fmla="*/ 75 w 75"/>
                <a:gd name="T5" fmla="*/ 5 h 5"/>
                <a:gd name="T6" fmla="*/ 75 w 75"/>
                <a:gd name="T7" fmla="*/ 0 h 5"/>
                <a:gd name="T8" fmla="*/ 0 w 75"/>
                <a:gd name="T9" fmla="*/ 0 h 5"/>
                <a:gd name="T10" fmla="*/ 0 w 75"/>
                <a:gd name="T11" fmla="*/ 2 h 5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75"/>
                <a:gd name="T19" fmla="*/ 0 h 5"/>
                <a:gd name="T20" fmla="*/ 75 w 75"/>
                <a:gd name="T21" fmla="*/ 5 h 5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75" h="5">
                  <a:moveTo>
                    <a:pt x="0" y="2"/>
                  </a:moveTo>
                  <a:lnTo>
                    <a:pt x="0" y="5"/>
                  </a:lnTo>
                  <a:lnTo>
                    <a:pt x="75" y="5"/>
                  </a:lnTo>
                  <a:lnTo>
                    <a:pt x="75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8" name="Freeform 47"/>
            <xdr:cNvSpPr>
              <a:spLocks/>
            </xdr:cNvSpPr>
          </xdr:nvSpPr>
          <xdr:spPr bwMode="auto">
            <a:xfrm>
              <a:off x="628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99" name="Freeform 48"/>
            <xdr:cNvSpPr>
              <a:spLocks/>
            </xdr:cNvSpPr>
          </xdr:nvSpPr>
          <xdr:spPr bwMode="auto">
            <a:xfrm>
              <a:off x="597" y="249"/>
              <a:ext cx="12" cy="20"/>
            </a:xfrm>
            <a:custGeom>
              <a:avLst/>
              <a:gdLst>
                <a:gd name="T0" fmla="*/ 11 w 12"/>
                <a:gd name="T1" fmla="*/ 18 h 20"/>
                <a:gd name="T2" fmla="*/ 12 w 12"/>
                <a:gd name="T3" fmla="*/ 16 h 20"/>
                <a:gd name="T4" fmla="*/ 1 w 12"/>
                <a:gd name="T5" fmla="*/ 0 h 20"/>
                <a:gd name="T6" fmla="*/ 0 w 12"/>
                <a:gd name="T7" fmla="*/ 3 h 20"/>
                <a:gd name="T8" fmla="*/ 10 w 12"/>
                <a:gd name="T9" fmla="*/ 20 h 20"/>
                <a:gd name="T10" fmla="*/ 11 w 12"/>
                <a:gd name="T11" fmla="*/ 18 h 2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12"/>
                <a:gd name="T19" fmla="*/ 0 h 20"/>
                <a:gd name="T20" fmla="*/ 12 w 12"/>
                <a:gd name="T21" fmla="*/ 20 h 2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12" h="20">
                  <a:moveTo>
                    <a:pt x="11" y="18"/>
                  </a:moveTo>
                  <a:lnTo>
                    <a:pt x="12" y="16"/>
                  </a:lnTo>
                  <a:lnTo>
                    <a:pt x="1" y="0"/>
                  </a:lnTo>
                  <a:lnTo>
                    <a:pt x="0" y="3"/>
                  </a:lnTo>
                  <a:lnTo>
                    <a:pt x="10" y="20"/>
                  </a:lnTo>
                  <a:lnTo>
                    <a:pt x="11" y="18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0" name="Freeform 49"/>
            <xdr:cNvSpPr>
              <a:spLocks/>
            </xdr:cNvSpPr>
          </xdr:nvSpPr>
          <xdr:spPr bwMode="auto">
            <a:xfrm>
              <a:off x="553" y="248"/>
              <a:ext cx="44" cy="4"/>
            </a:xfrm>
            <a:custGeom>
              <a:avLst/>
              <a:gdLst>
                <a:gd name="T0" fmla="*/ 44 w 44"/>
                <a:gd name="T1" fmla="*/ 3 h 4"/>
                <a:gd name="T2" fmla="*/ 44 w 44"/>
                <a:gd name="T3" fmla="*/ 0 h 4"/>
                <a:gd name="T4" fmla="*/ 0 w 44"/>
                <a:gd name="T5" fmla="*/ 0 h 4"/>
                <a:gd name="T6" fmla="*/ 0 w 44"/>
                <a:gd name="T7" fmla="*/ 4 h 4"/>
                <a:gd name="T8" fmla="*/ 44 w 44"/>
                <a:gd name="T9" fmla="*/ 4 h 4"/>
                <a:gd name="T10" fmla="*/ 44 w 44"/>
                <a:gd name="T11" fmla="*/ 3 h 4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44"/>
                <a:gd name="T19" fmla="*/ 0 h 4"/>
                <a:gd name="T20" fmla="*/ 44 w 44"/>
                <a:gd name="T21" fmla="*/ 4 h 4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44" h="4">
                  <a:moveTo>
                    <a:pt x="44" y="3"/>
                  </a:moveTo>
                  <a:lnTo>
                    <a:pt x="44" y="0"/>
                  </a:lnTo>
                  <a:lnTo>
                    <a:pt x="0" y="0"/>
                  </a:lnTo>
                  <a:lnTo>
                    <a:pt x="0" y="4"/>
                  </a:lnTo>
                  <a:lnTo>
                    <a:pt x="44" y="4"/>
                  </a:lnTo>
                  <a:lnTo>
                    <a:pt x="44" y="3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1" name="Freeform 50"/>
            <xdr:cNvSpPr>
              <a:spLocks/>
            </xdr:cNvSpPr>
          </xdr:nvSpPr>
          <xdr:spPr bwMode="auto">
            <a:xfrm>
              <a:off x="552" y="251"/>
              <a:ext cx="3" cy="31"/>
            </a:xfrm>
            <a:custGeom>
              <a:avLst/>
              <a:gdLst>
                <a:gd name="T0" fmla="*/ 1 w 3"/>
                <a:gd name="T1" fmla="*/ 31 h 31"/>
                <a:gd name="T2" fmla="*/ 3 w 3"/>
                <a:gd name="T3" fmla="*/ 31 h 31"/>
                <a:gd name="T4" fmla="*/ 3 w 3"/>
                <a:gd name="T5" fmla="*/ 0 h 31"/>
                <a:gd name="T6" fmla="*/ 0 w 3"/>
                <a:gd name="T7" fmla="*/ 0 h 31"/>
                <a:gd name="T8" fmla="*/ 0 w 3"/>
                <a:gd name="T9" fmla="*/ 31 h 31"/>
                <a:gd name="T10" fmla="*/ 1 w 3"/>
                <a:gd name="T11" fmla="*/ 31 h 31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3"/>
                <a:gd name="T19" fmla="*/ 0 h 31"/>
                <a:gd name="T20" fmla="*/ 3 w 3"/>
                <a:gd name="T21" fmla="*/ 31 h 31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3" h="31">
                  <a:moveTo>
                    <a:pt x="1" y="31"/>
                  </a:moveTo>
                  <a:lnTo>
                    <a:pt x="3" y="31"/>
                  </a:lnTo>
                  <a:lnTo>
                    <a:pt x="3" y="0"/>
                  </a:lnTo>
                  <a:lnTo>
                    <a:pt x="0" y="0"/>
                  </a:lnTo>
                  <a:lnTo>
                    <a:pt x="0" y="31"/>
                  </a:lnTo>
                  <a:lnTo>
                    <a:pt x="1" y="31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2" name="Oval 51"/>
            <xdr:cNvSpPr>
              <a:spLocks noChangeArrowheads="1"/>
            </xdr:cNvSpPr>
          </xdr:nvSpPr>
          <xdr:spPr bwMode="auto">
            <a:xfrm>
              <a:off x="603" y="233"/>
              <a:ext cx="9" cy="18"/>
            </a:xfrm>
            <a:prstGeom prst="ellipse">
              <a:avLst/>
            </a:prstGeom>
            <a:solidFill>
              <a:srgbClr val="A9A8A7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3" name="Freeform 52"/>
            <xdr:cNvSpPr>
              <a:spLocks/>
            </xdr:cNvSpPr>
          </xdr:nvSpPr>
          <xdr:spPr bwMode="auto">
            <a:xfrm>
              <a:off x="602" y="233"/>
              <a:ext cx="6" cy="9"/>
            </a:xfrm>
            <a:custGeom>
              <a:avLst/>
              <a:gdLst>
                <a:gd name="T0" fmla="*/ 2 w 6"/>
                <a:gd name="T1" fmla="*/ 9 h 9"/>
                <a:gd name="T2" fmla="*/ 2 w 6"/>
                <a:gd name="T3" fmla="*/ 9 h 9"/>
                <a:gd name="T4" fmla="*/ 2 w 6"/>
                <a:gd name="T5" fmla="*/ 7 h 9"/>
                <a:gd name="T6" fmla="*/ 2 w 6"/>
                <a:gd name="T7" fmla="*/ 6 h 9"/>
                <a:gd name="T8" fmla="*/ 2 w 6"/>
                <a:gd name="T9" fmla="*/ 5 h 9"/>
                <a:gd name="T10" fmla="*/ 2 w 6"/>
                <a:gd name="T11" fmla="*/ 3 h 9"/>
                <a:gd name="T12" fmla="*/ 3 w 6"/>
                <a:gd name="T13" fmla="*/ 3 h 9"/>
                <a:gd name="T14" fmla="*/ 4 w 6"/>
                <a:gd name="T15" fmla="*/ 2 h 9"/>
                <a:gd name="T16" fmla="*/ 5 w 6"/>
                <a:gd name="T17" fmla="*/ 2 h 9"/>
                <a:gd name="T18" fmla="*/ 6 w 6"/>
                <a:gd name="T19" fmla="*/ 2 h 9"/>
                <a:gd name="T20" fmla="*/ 6 w 6"/>
                <a:gd name="T21" fmla="*/ 0 h 9"/>
                <a:gd name="T22" fmla="*/ 4 w 6"/>
                <a:gd name="T23" fmla="*/ 0 h 9"/>
                <a:gd name="T24" fmla="*/ 3 w 6"/>
                <a:gd name="T25" fmla="*/ 0 h 9"/>
                <a:gd name="T26" fmla="*/ 2 w 6"/>
                <a:gd name="T27" fmla="*/ 2 h 9"/>
                <a:gd name="T28" fmla="*/ 2 w 6"/>
                <a:gd name="T29" fmla="*/ 2 h 9"/>
                <a:gd name="T30" fmla="*/ 2 w 6"/>
                <a:gd name="T31" fmla="*/ 3 h 9"/>
                <a:gd name="T32" fmla="*/ 1 w 6"/>
                <a:gd name="T33" fmla="*/ 5 h 9"/>
                <a:gd name="T34" fmla="*/ 1 w 6"/>
                <a:gd name="T35" fmla="*/ 7 h 9"/>
                <a:gd name="T36" fmla="*/ 0 w 6"/>
                <a:gd name="T37" fmla="*/ 9 h 9"/>
                <a:gd name="T38" fmla="*/ 0 w 6"/>
                <a:gd name="T39" fmla="*/ 9 h 9"/>
                <a:gd name="T40" fmla="*/ 2 w 6"/>
                <a:gd name="T41" fmla="*/ 9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2" y="9"/>
                  </a:moveTo>
                  <a:lnTo>
                    <a:pt x="2" y="9"/>
                  </a:lnTo>
                  <a:lnTo>
                    <a:pt x="2" y="7"/>
                  </a:lnTo>
                  <a:lnTo>
                    <a:pt x="2" y="6"/>
                  </a:lnTo>
                  <a:lnTo>
                    <a:pt x="2" y="5"/>
                  </a:lnTo>
                  <a:lnTo>
                    <a:pt x="2" y="3"/>
                  </a:lnTo>
                  <a:lnTo>
                    <a:pt x="3" y="3"/>
                  </a:lnTo>
                  <a:lnTo>
                    <a:pt x="4" y="2"/>
                  </a:lnTo>
                  <a:lnTo>
                    <a:pt x="5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2" y="2"/>
                  </a:lnTo>
                  <a:lnTo>
                    <a:pt x="2" y="3"/>
                  </a:lnTo>
                  <a:lnTo>
                    <a:pt x="1" y="5"/>
                  </a:lnTo>
                  <a:lnTo>
                    <a:pt x="1" y="7"/>
                  </a:lnTo>
                  <a:lnTo>
                    <a:pt x="0" y="9"/>
                  </a:lnTo>
                  <a:lnTo>
                    <a:pt x="2" y="9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4" name="Freeform 53"/>
            <xdr:cNvSpPr>
              <a:spLocks/>
            </xdr:cNvSpPr>
          </xdr:nvSpPr>
          <xdr:spPr bwMode="auto">
            <a:xfrm>
              <a:off x="602" y="242"/>
              <a:ext cx="6" cy="9"/>
            </a:xfrm>
            <a:custGeom>
              <a:avLst/>
              <a:gdLst>
                <a:gd name="T0" fmla="*/ 6 w 6"/>
                <a:gd name="T1" fmla="*/ 7 h 9"/>
                <a:gd name="T2" fmla="*/ 6 w 6"/>
                <a:gd name="T3" fmla="*/ 7 h 9"/>
                <a:gd name="T4" fmla="*/ 5 w 6"/>
                <a:gd name="T5" fmla="*/ 7 h 9"/>
                <a:gd name="T6" fmla="*/ 4 w 6"/>
                <a:gd name="T7" fmla="*/ 7 h 9"/>
                <a:gd name="T8" fmla="*/ 3 w 6"/>
                <a:gd name="T9" fmla="*/ 6 h 9"/>
                <a:gd name="T10" fmla="*/ 2 w 6"/>
                <a:gd name="T11" fmla="*/ 4 h 9"/>
                <a:gd name="T12" fmla="*/ 2 w 6"/>
                <a:gd name="T13" fmla="*/ 4 h 9"/>
                <a:gd name="T14" fmla="*/ 2 w 6"/>
                <a:gd name="T15" fmla="*/ 3 h 9"/>
                <a:gd name="T16" fmla="*/ 2 w 6"/>
                <a:gd name="T17" fmla="*/ 1 h 9"/>
                <a:gd name="T18" fmla="*/ 2 w 6"/>
                <a:gd name="T19" fmla="*/ 0 h 9"/>
                <a:gd name="T20" fmla="*/ 0 w 6"/>
                <a:gd name="T21" fmla="*/ 0 h 9"/>
                <a:gd name="T22" fmla="*/ 1 w 6"/>
                <a:gd name="T23" fmla="*/ 1 h 9"/>
                <a:gd name="T24" fmla="*/ 1 w 6"/>
                <a:gd name="T25" fmla="*/ 3 h 9"/>
                <a:gd name="T26" fmla="*/ 2 w 6"/>
                <a:gd name="T27" fmla="*/ 6 h 9"/>
                <a:gd name="T28" fmla="*/ 2 w 6"/>
                <a:gd name="T29" fmla="*/ 6 h 9"/>
                <a:gd name="T30" fmla="*/ 2 w 6"/>
                <a:gd name="T31" fmla="*/ 7 h 9"/>
                <a:gd name="T32" fmla="*/ 3 w 6"/>
                <a:gd name="T33" fmla="*/ 9 h 9"/>
                <a:gd name="T34" fmla="*/ 4 w 6"/>
                <a:gd name="T35" fmla="*/ 9 h 9"/>
                <a:gd name="T36" fmla="*/ 6 w 6"/>
                <a:gd name="T37" fmla="*/ 9 h 9"/>
                <a:gd name="T38" fmla="*/ 6 w 6"/>
                <a:gd name="T39" fmla="*/ 9 h 9"/>
                <a:gd name="T40" fmla="*/ 6 w 6"/>
                <a:gd name="T41" fmla="*/ 7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6"/>
                <a:gd name="T64" fmla="*/ 0 h 9"/>
                <a:gd name="T65" fmla="*/ 6 w 6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6" h="9">
                  <a:moveTo>
                    <a:pt x="6" y="7"/>
                  </a:moveTo>
                  <a:lnTo>
                    <a:pt x="6" y="7"/>
                  </a:lnTo>
                  <a:lnTo>
                    <a:pt x="5" y="7"/>
                  </a:lnTo>
                  <a:lnTo>
                    <a:pt x="4" y="7"/>
                  </a:lnTo>
                  <a:lnTo>
                    <a:pt x="3" y="6"/>
                  </a:lnTo>
                  <a:lnTo>
                    <a:pt x="2" y="4"/>
                  </a:lnTo>
                  <a:lnTo>
                    <a:pt x="2" y="3"/>
                  </a:lnTo>
                  <a:lnTo>
                    <a:pt x="2" y="1"/>
                  </a:lnTo>
                  <a:lnTo>
                    <a:pt x="2" y="0"/>
                  </a:lnTo>
                  <a:lnTo>
                    <a:pt x="0" y="0"/>
                  </a:lnTo>
                  <a:lnTo>
                    <a:pt x="1" y="1"/>
                  </a:lnTo>
                  <a:lnTo>
                    <a:pt x="1" y="3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6" y="9"/>
                  </a:lnTo>
                  <a:lnTo>
                    <a:pt x="6" y="7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5" name="Freeform 54"/>
            <xdr:cNvSpPr>
              <a:spLocks/>
            </xdr:cNvSpPr>
          </xdr:nvSpPr>
          <xdr:spPr bwMode="auto">
            <a:xfrm>
              <a:off x="608" y="242"/>
              <a:ext cx="5" cy="9"/>
            </a:xfrm>
            <a:custGeom>
              <a:avLst/>
              <a:gdLst>
                <a:gd name="T0" fmla="*/ 4 w 5"/>
                <a:gd name="T1" fmla="*/ 0 h 9"/>
                <a:gd name="T2" fmla="*/ 4 w 5"/>
                <a:gd name="T3" fmla="*/ 0 h 9"/>
                <a:gd name="T4" fmla="*/ 3 w 5"/>
                <a:gd name="T5" fmla="*/ 1 h 9"/>
                <a:gd name="T6" fmla="*/ 3 w 5"/>
                <a:gd name="T7" fmla="*/ 3 h 9"/>
                <a:gd name="T8" fmla="*/ 3 w 5"/>
                <a:gd name="T9" fmla="*/ 4 h 9"/>
                <a:gd name="T10" fmla="*/ 3 w 5"/>
                <a:gd name="T11" fmla="*/ 4 h 9"/>
                <a:gd name="T12" fmla="*/ 2 w 5"/>
                <a:gd name="T13" fmla="*/ 6 h 9"/>
                <a:gd name="T14" fmla="*/ 2 w 5"/>
                <a:gd name="T15" fmla="*/ 7 h 9"/>
                <a:gd name="T16" fmla="*/ 1 w 5"/>
                <a:gd name="T17" fmla="*/ 7 h 9"/>
                <a:gd name="T18" fmla="*/ 0 w 5"/>
                <a:gd name="T19" fmla="*/ 7 h 9"/>
                <a:gd name="T20" fmla="*/ 0 w 5"/>
                <a:gd name="T21" fmla="*/ 9 h 9"/>
                <a:gd name="T22" fmla="*/ 1 w 5"/>
                <a:gd name="T23" fmla="*/ 9 h 9"/>
                <a:gd name="T24" fmla="*/ 2 w 5"/>
                <a:gd name="T25" fmla="*/ 9 h 9"/>
                <a:gd name="T26" fmla="*/ 3 w 5"/>
                <a:gd name="T27" fmla="*/ 7 h 9"/>
                <a:gd name="T28" fmla="*/ 3 w 5"/>
                <a:gd name="T29" fmla="*/ 6 h 9"/>
                <a:gd name="T30" fmla="*/ 4 w 5"/>
                <a:gd name="T31" fmla="*/ 6 h 9"/>
                <a:gd name="T32" fmla="*/ 4 w 5"/>
                <a:gd name="T33" fmla="*/ 3 h 9"/>
                <a:gd name="T34" fmla="*/ 5 w 5"/>
                <a:gd name="T35" fmla="*/ 1 h 9"/>
                <a:gd name="T36" fmla="*/ 5 w 5"/>
                <a:gd name="T37" fmla="*/ 0 h 9"/>
                <a:gd name="T38" fmla="*/ 5 w 5"/>
                <a:gd name="T39" fmla="*/ 0 h 9"/>
                <a:gd name="T40" fmla="*/ 4 w 5"/>
                <a:gd name="T41" fmla="*/ 0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4" y="0"/>
                  </a:moveTo>
                  <a:lnTo>
                    <a:pt x="4" y="0"/>
                  </a:lnTo>
                  <a:lnTo>
                    <a:pt x="3" y="1"/>
                  </a:lnTo>
                  <a:lnTo>
                    <a:pt x="3" y="3"/>
                  </a:lnTo>
                  <a:lnTo>
                    <a:pt x="3" y="4"/>
                  </a:lnTo>
                  <a:lnTo>
                    <a:pt x="2" y="6"/>
                  </a:lnTo>
                  <a:lnTo>
                    <a:pt x="2" y="7"/>
                  </a:lnTo>
                  <a:lnTo>
                    <a:pt x="1" y="7"/>
                  </a:lnTo>
                  <a:lnTo>
                    <a:pt x="0" y="7"/>
                  </a:lnTo>
                  <a:lnTo>
                    <a:pt x="0" y="9"/>
                  </a:lnTo>
                  <a:lnTo>
                    <a:pt x="1" y="9"/>
                  </a:lnTo>
                  <a:lnTo>
                    <a:pt x="2" y="9"/>
                  </a:lnTo>
                  <a:lnTo>
                    <a:pt x="3" y="7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3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106" name="Freeform 55"/>
            <xdr:cNvSpPr>
              <a:spLocks/>
            </xdr:cNvSpPr>
          </xdr:nvSpPr>
          <xdr:spPr bwMode="auto">
            <a:xfrm>
              <a:off x="608" y="233"/>
              <a:ext cx="5" cy="9"/>
            </a:xfrm>
            <a:custGeom>
              <a:avLst/>
              <a:gdLst>
                <a:gd name="T0" fmla="*/ 0 w 5"/>
                <a:gd name="T1" fmla="*/ 2 h 9"/>
                <a:gd name="T2" fmla="*/ 0 w 5"/>
                <a:gd name="T3" fmla="*/ 2 h 9"/>
                <a:gd name="T4" fmla="*/ 1 w 5"/>
                <a:gd name="T5" fmla="*/ 2 h 9"/>
                <a:gd name="T6" fmla="*/ 2 w 5"/>
                <a:gd name="T7" fmla="*/ 2 h 9"/>
                <a:gd name="T8" fmla="*/ 2 w 5"/>
                <a:gd name="T9" fmla="*/ 3 h 9"/>
                <a:gd name="T10" fmla="*/ 3 w 5"/>
                <a:gd name="T11" fmla="*/ 3 h 9"/>
                <a:gd name="T12" fmla="*/ 3 w 5"/>
                <a:gd name="T13" fmla="*/ 5 h 9"/>
                <a:gd name="T14" fmla="*/ 3 w 5"/>
                <a:gd name="T15" fmla="*/ 6 h 9"/>
                <a:gd name="T16" fmla="*/ 3 w 5"/>
                <a:gd name="T17" fmla="*/ 7 h 9"/>
                <a:gd name="T18" fmla="*/ 4 w 5"/>
                <a:gd name="T19" fmla="*/ 9 h 9"/>
                <a:gd name="T20" fmla="*/ 5 w 5"/>
                <a:gd name="T21" fmla="*/ 9 h 9"/>
                <a:gd name="T22" fmla="*/ 5 w 5"/>
                <a:gd name="T23" fmla="*/ 7 h 9"/>
                <a:gd name="T24" fmla="*/ 4 w 5"/>
                <a:gd name="T25" fmla="*/ 5 h 9"/>
                <a:gd name="T26" fmla="*/ 4 w 5"/>
                <a:gd name="T27" fmla="*/ 3 h 9"/>
                <a:gd name="T28" fmla="*/ 3 w 5"/>
                <a:gd name="T29" fmla="*/ 2 h 9"/>
                <a:gd name="T30" fmla="*/ 3 w 5"/>
                <a:gd name="T31" fmla="*/ 2 h 9"/>
                <a:gd name="T32" fmla="*/ 2 w 5"/>
                <a:gd name="T33" fmla="*/ 0 h 9"/>
                <a:gd name="T34" fmla="*/ 1 w 5"/>
                <a:gd name="T35" fmla="*/ 0 h 9"/>
                <a:gd name="T36" fmla="*/ 0 w 5"/>
                <a:gd name="T37" fmla="*/ 0 h 9"/>
                <a:gd name="T38" fmla="*/ 0 w 5"/>
                <a:gd name="T39" fmla="*/ 0 h 9"/>
                <a:gd name="T40" fmla="*/ 0 w 5"/>
                <a:gd name="T41" fmla="*/ 2 h 9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5"/>
                <a:gd name="T64" fmla="*/ 0 h 9"/>
                <a:gd name="T65" fmla="*/ 5 w 5"/>
                <a:gd name="T66" fmla="*/ 9 h 9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5" h="9">
                  <a:moveTo>
                    <a:pt x="0" y="2"/>
                  </a:moveTo>
                  <a:lnTo>
                    <a:pt x="0" y="2"/>
                  </a:lnTo>
                  <a:lnTo>
                    <a:pt x="1" y="2"/>
                  </a:lnTo>
                  <a:lnTo>
                    <a:pt x="2" y="2"/>
                  </a:lnTo>
                  <a:lnTo>
                    <a:pt x="2" y="3"/>
                  </a:lnTo>
                  <a:lnTo>
                    <a:pt x="3" y="3"/>
                  </a:lnTo>
                  <a:lnTo>
                    <a:pt x="3" y="5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4" y="5"/>
                  </a:lnTo>
                  <a:lnTo>
                    <a:pt x="4" y="3"/>
                  </a:lnTo>
                  <a:lnTo>
                    <a:pt x="3" y="2"/>
                  </a:lnTo>
                  <a:lnTo>
                    <a:pt x="2" y="0"/>
                  </a:lnTo>
                  <a:lnTo>
                    <a:pt x="1" y="0"/>
                  </a:lnTo>
                  <a:lnTo>
                    <a:pt x="0" y="0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25221E"/>
            </a:solidFill>
            <a:ln w="9525">
              <a:noFill/>
              <a:round/>
              <a:headEnd/>
              <a:tailEnd/>
            </a:ln>
          </xdr:spPr>
        </xdr:sp>
      </xdr:grpSp>
    </xdr:grpSp>
    <xdr:clientData/>
  </xdr:twoCellAnchor>
  <xdr:twoCellAnchor>
    <xdr:from>
      <xdr:col>13</xdr:col>
      <xdr:colOff>762000</xdr:colOff>
      <xdr:row>0</xdr:row>
      <xdr:rowOff>133350</xdr:rowOff>
    </xdr:from>
    <xdr:to>
      <xdr:col>14</xdr:col>
      <xdr:colOff>758826</xdr:colOff>
      <xdr:row>7</xdr:row>
      <xdr:rowOff>38100</xdr:rowOff>
    </xdr:to>
    <xdr:sp macro="" textlink="">
      <xdr:nvSpPr>
        <xdr:cNvPr id="107" name="106 CuadroTexto"/>
        <xdr:cNvSpPr txBox="1"/>
      </xdr:nvSpPr>
      <xdr:spPr>
        <a:xfrm>
          <a:off x="12487275" y="990600"/>
          <a:ext cx="844551" cy="76200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AR" sz="1200"/>
            <a:t>ORIGINAL</a:t>
          </a:r>
        </a:p>
        <a:p>
          <a:pPr algn="ctr"/>
          <a:endParaRPr lang="es-AR" sz="1200"/>
        </a:p>
        <a:p>
          <a:pPr algn="ctr"/>
          <a:endParaRPr lang="es-AR" sz="1200"/>
        </a:p>
        <a:p>
          <a:pPr algn="ctr"/>
          <a:r>
            <a:rPr lang="es-AR" sz="1200"/>
            <a:t>FOLIO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13_prevcost\prev\6798\RdO\Civili\Civil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ASQUINI\Mis%20documentos\LICITACIONES\LICITACIONES%201&#186;%20LUGAR\LICIT.%2012-07%2069%20Mejoramientos%20Ceferino%20y%20Matadero\69%20Mejoramientos%20Ceferin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SQUINI/Mis%20documentos/LICITACIONES/LICITACIONES%201&#186;%20LUGAR/LICIT.%2012-07%2069%20Mejoramientos%20Ceferino%20y%20Matadero/69%20Mejoramientos%20Ceferin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0%20-%20Juli&#225;n/11%20-%20Licitaciones/Licitaci&#243;n%20Nacional%20N&#186;64-2013%20-%20Jard&#237;n%20Tecka/Oferta%20Jard&#237;n%20Tecka%20V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PV/fondo%20fiduciario/Valle%20Chico/etapa1/agua%20y%20cloacas/computo%20ca&#241;erias%20AguaVCH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"/>
      <sheetName val="Quantity"/>
      <sheetName val="Sheet1"/>
      <sheetName val="KP_List"/>
      <sheetName val="PU_ITALY"/>
      <sheetName val="Module1"/>
      <sheetName val="Module2"/>
      <sheetName val="Modelo Oferta"/>
      <sheetName val="Cómputo y Presupuesto"/>
      <sheetName val="Item 1 Tareas Preliminares"/>
      <sheetName val="Item 2 Movimiento de Tierra"/>
      <sheetName val="Item 3 Hormigón Armado"/>
      <sheetName val="Item 4 Mamposterías"/>
      <sheetName val="Item 5 Cubierta de Techos"/>
      <sheetName val="Item 6 Capas Aisladoras"/>
      <sheetName val="Item 7 Revoques"/>
      <sheetName val="Item 8 Contrapisos"/>
      <sheetName val="Item 9 Cielorrasos"/>
      <sheetName val="Item 10 Pisos"/>
      <sheetName val="Item 11 Zócalos "/>
      <sheetName val="Item 12 Sol., Umb.y Piezas"/>
      <sheetName val="Item 13 Carpinterías"/>
      <sheetName val="Item 14 Instalación de Gas"/>
      <sheetName val="Item 15 Instalación Eléctrica"/>
      <sheetName val="Item 16 Pinturas"/>
      <sheetName val="Item 17 Acristalamiento"/>
      <sheetName val="Item 18 Varios"/>
      <sheetName val="Item 19 Tareas Complementarias"/>
      <sheetName val="Gs Gs, Benef y Imp"/>
      <sheetName val="Mano de Obra "/>
      <sheetName val="Precios Mano de Obra"/>
      <sheetName val="Precios Materiales e Insumos"/>
      <sheetName val="Precios 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s Generales"/>
      <sheetName val="Coeficiente resumen"/>
      <sheetName val="Costo Equipos"/>
      <sheetName val="Costo Mano de Obra"/>
      <sheetName val="Análisis de Precios"/>
      <sheetName val="Presupuesto"/>
      <sheetName val="Plan de Trabajos"/>
      <sheetName val="material"/>
      <sheetName val="Nómina de Materiales"/>
    </sheetNames>
    <sheetDataSet>
      <sheetData sheetId="0"/>
      <sheetData sheetId="1">
        <row r="37">
          <cell r="J37">
            <v>1.4973140000000003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stos Generales"/>
      <sheetName val="Coeficiente resumen"/>
      <sheetName val="Costo Equipos"/>
      <sheetName val="Costo Mano de Obra"/>
      <sheetName val="Análisis de Precios"/>
      <sheetName val="Presupuesto"/>
      <sheetName val="Plan de Trabajos"/>
      <sheetName val="material"/>
      <sheetName val="Nómina de Materiales"/>
    </sheetNames>
    <sheetDataSet>
      <sheetData sheetId="0"/>
      <sheetData sheetId="1">
        <row r="37">
          <cell r="J37">
            <v>1.4973140000000003</v>
          </cell>
        </row>
      </sheetData>
      <sheetData sheetId="2"/>
      <sheetData sheetId="3"/>
      <sheetData sheetId="4">
        <row r="1">
          <cell r="H1" t="str">
            <v>ORIGINAL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G"/>
      <sheetName val="Coef. resumen"/>
      <sheetName val="Mano de obra"/>
      <sheetName val="Equipos"/>
      <sheetName val="Análisis Precios"/>
      <sheetName val="Presupuesto"/>
      <sheetName val="Plan de Trabajos"/>
      <sheetName val="MAT"/>
    </sheetNames>
    <sheetDataSet>
      <sheetData sheetId="0" refreshError="1"/>
      <sheetData sheetId="1">
        <row r="8">
          <cell r="A8" t="str">
            <v>LICITACIÓN PÚBLICA NACIONAL Nº 64/13</v>
          </cell>
        </row>
        <row r="52">
          <cell r="B52" t="str">
            <v>Julián Antonelli</v>
          </cell>
          <cell r="E52" t="str">
            <v>Marcelo A. Pasquini</v>
          </cell>
        </row>
        <row r="53">
          <cell r="B53" t="str">
            <v>Ing. Civil M.P. 2161</v>
          </cell>
          <cell r="E53" t="str">
            <v>Socio Gerente</v>
          </cell>
        </row>
        <row r="54">
          <cell r="B54" t="str">
            <v>Representante Técnico</v>
          </cell>
          <cell r="E54" t="str">
            <v>Pasquini Construcciones SRL</v>
          </cell>
        </row>
      </sheetData>
      <sheetData sheetId="2" refreshError="1"/>
      <sheetData sheetId="3" refreshError="1"/>
      <sheetData sheetId="4" refreshError="1"/>
      <sheetData sheetId="5">
        <row r="15">
          <cell r="A15">
            <v>1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d de Agua"/>
      <sheetName val="Nexo CLoaca"/>
      <sheetName val="Red Cloacal"/>
      <sheetName val="Cañeria ø 75"/>
    </sheetNames>
    <sheetDataSet>
      <sheetData sheetId="0" refreshError="1">
        <row r="65">
          <cell r="D65">
            <v>291.5</v>
          </cell>
          <cell r="E65">
            <v>1667.5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delsursanitarios.com.ar/" TargetMode="External"/><Relationship Id="rId1" Type="http://schemas.openxmlformats.org/officeDocument/2006/relationships/hyperlink" Target="http://www.sanitariosarieta.com.ar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topLeftCell="A10" zoomScaleSheetLayoutView="100" workbookViewId="0">
      <selection activeCell="G5" sqref="G5"/>
    </sheetView>
  </sheetViews>
  <sheetFormatPr baseColWidth="10" defaultColWidth="11.28515625" defaultRowHeight="15"/>
  <cols>
    <col min="1" max="8" width="11.28515625" style="71" customWidth="1"/>
    <col min="9" max="9" width="11.28515625" style="70" customWidth="1"/>
    <col min="10" max="10" width="14.28515625" style="70" bestFit="1" customWidth="1"/>
    <col min="11" max="11" width="13.28515625" style="70" bestFit="1" customWidth="1"/>
    <col min="12" max="12" width="12.42578125" style="70" bestFit="1" customWidth="1"/>
    <col min="13" max="19" width="11.28515625" style="70" customWidth="1"/>
    <col min="20" max="16384" width="11.28515625" style="70"/>
  </cols>
  <sheetData>
    <row r="1" spans="1:17">
      <c r="A1" s="155"/>
      <c r="B1" s="155"/>
      <c r="H1" s="156"/>
      <c r="I1" s="157" t="s">
        <v>286</v>
      </c>
      <c r="J1" s="158">
        <v>27515015.739999998</v>
      </c>
    </row>
    <row r="2" spans="1:17" ht="18.75">
      <c r="A2" s="535" t="s">
        <v>287</v>
      </c>
      <c r="B2" s="535"/>
      <c r="C2" s="535"/>
      <c r="D2" s="535"/>
      <c r="E2" s="535"/>
      <c r="F2" s="535"/>
      <c r="G2" s="535"/>
      <c r="H2" s="535"/>
      <c r="I2" s="157" t="s">
        <v>315</v>
      </c>
      <c r="J2" s="158">
        <f>(J1/(1+B35))/(1+B34)</f>
        <v>20672438.572501875</v>
      </c>
      <c r="K2" s="158"/>
    </row>
    <row r="3" spans="1:17">
      <c r="I3" s="157" t="s">
        <v>288</v>
      </c>
      <c r="J3" s="158"/>
      <c r="L3" s="159"/>
      <c r="M3" s="159"/>
      <c r="N3" s="159"/>
      <c r="O3" s="159"/>
      <c r="P3" s="159"/>
      <c r="Q3" s="159"/>
    </row>
    <row r="4" spans="1:17">
      <c r="I4" s="157"/>
      <c r="J4" s="158"/>
      <c r="L4" s="159"/>
      <c r="M4" s="159"/>
      <c r="N4" s="159"/>
      <c r="O4" s="159"/>
      <c r="P4" s="159"/>
      <c r="Q4" s="159"/>
    </row>
    <row r="5" spans="1:17">
      <c r="A5" s="160" t="s">
        <v>289</v>
      </c>
      <c r="J5" s="536" t="s">
        <v>290</v>
      </c>
      <c r="L5" s="538" t="s">
        <v>291</v>
      </c>
      <c r="M5" s="159"/>
      <c r="N5" s="159"/>
      <c r="O5" s="159"/>
      <c r="P5" s="159"/>
      <c r="Q5" s="159"/>
    </row>
    <row r="6" spans="1:17">
      <c r="J6" s="537"/>
      <c r="L6" s="538"/>
      <c r="M6" s="159"/>
      <c r="N6" s="159"/>
      <c r="O6" s="159"/>
      <c r="P6" s="159"/>
      <c r="Q6" s="159"/>
    </row>
    <row r="7" spans="1:17">
      <c r="A7" s="539" t="s">
        <v>292</v>
      </c>
      <c r="B7" s="539"/>
      <c r="C7" s="539"/>
      <c r="D7" s="161" t="s">
        <v>293</v>
      </c>
      <c r="E7" s="161"/>
      <c r="F7" s="162">
        <v>1.6E-2</v>
      </c>
      <c r="G7" s="163"/>
      <c r="I7" s="164"/>
      <c r="J7" s="165">
        <f>F7*J$2</f>
        <v>330759.01716003002</v>
      </c>
      <c r="K7" s="166"/>
      <c r="L7" s="165">
        <f>15000*18*1.2</f>
        <v>324000</v>
      </c>
      <c r="M7" s="540"/>
      <c r="N7" s="540"/>
      <c r="O7" s="540"/>
      <c r="P7" s="159"/>
      <c r="Q7" s="159"/>
    </row>
    <row r="8" spans="1:17">
      <c r="A8" s="533" t="s">
        <v>169</v>
      </c>
      <c r="B8" s="533"/>
      <c r="C8" s="533"/>
      <c r="D8" s="161" t="s">
        <v>293</v>
      </c>
      <c r="E8" s="161"/>
      <c r="F8" s="162">
        <v>2.1999999999999999E-2</v>
      </c>
      <c r="G8" s="163"/>
      <c r="I8" s="164"/>
      <c r="J8" s="165">
        <f t="shared" ref="J8:J17" si="0">F8*J$2</f>
        <v>454793.64859504125</v>
      </c>
      <c r="K8" s="166"/>
      <c r="L8" s="165"/>
      <c r="M8" s="534"/>
      <c r="N8" s="534"/>
      <c r="O8" s="534"/>
      <c r="P8" s="159"/>
      <c r="Q8" s="159"/>
    </row>
    <row r="9" spans="1:17">
      <c r="A9" s="533" t="s">
        <v>294</v>
      </c>
      <c r="B9" s="533"/>
      <c r="C9" s="533"/>
      <c r="D9" s="161" t="s">
        <v>293</v>
      </c>
      <c r="E9" s="161"/>
      <c r="F9" s="162">
        <v>1E-3</v>
      </c>
      <c r="G9" s="163"/>
      <c r="I9" s="164"/>
      <c r="J9" s="165">
        <f t="shared" si="0"/>
        <v>20672.438572501876</v>
      </c>
      <c r="K9" s="166"/>
      <c r="L9" s="165">
        <v>0</v>
      </c>
      <c r="M9" s="534"/>
      <c r="N9" s="534"/>
      <c r="O9" s="534"/>
      <c r="P9" s="159"/>
      <c r="Q9" s="159"/>
    </row>
    <row r="10" spans="1:17">
      <c r="A10" s="533" t="s">
        <v>295</v>
      </c>
      <c r="B10" s="533"/>
      <c r="C10" s="533"/>
      <c r="D10" s="161" t="s">
        <v>293</v>
      </c>
      <c r="E10" s="161"/>
      <c r="F10" s="162">
        <v>1E-3</v>
      </c>
      <c r="G10" s="163"/>
      <c r="I10" s="164"/>
      <c r="J10" s="165">
        <f t="shared" si="0"/>
        <v>20672.438572501876</v>
      </c>
      <c r="K10" s="166"/>
      <c r="L10" s="165">
        <v>0</v>
      </c>
      <c r="M10" s="534"/>
      <c r="N10" s="534"/>
      <c r="O10" s="534"/>
      <c r="P10" s="159"/>
      <c r="Q10" s="159"/>
    </row>
    <row r="11" spans="1:17">
      <c r="A11" s="533" t="s">
        <v>296</v>
      </c>
      <c r="B11" s="533"/>
      <c r="C11" s="533"/>
      <c r="D11" s="161" t="s">
        <v>293</v>
      </c>
      <c r="E11" s="161"/>
      <c r="F11" s="162">
        <v>1.4E-2</v>
      </c>
      <c r="G11" s="163"/>
      <c r="I11" s="164"/>
      <c r="J11" s="165">
        <f t="shared" si="0"/>
        <v>289414.14001502626</v>
      </c>
      <c r="K11" s="166"/>
      <c r="L11" s="165">
        <f>J1*0.01</f>
        <v>275150.15739999997</v>
      </c>
      <c r="M11" s="534"/>
      <c r="N11" s="534"/>
      <c r="O11" s="534"/>
      <c r="P11" s="159"/>
      <c r="Q11" s="159"/>
    </row>
    <row r="12" spans="1:17">
      <c r="A12" s="533" t="s">
        <v>297</v>
      </c>
      <c r="B12" s="533"/>
      <c r="C12" s="533"/>
      <c r="D12" s="161" t="s">
        <v>293</v>
      </c>
      <c r="E12" s="161"/>
      <c r="F12" s="162">
        <v>3.0000000000000001E-3</v>
      </c>
      <c r="G12" s="163"/>
      <c r="I12" s="164"/>
      <c r="J12" s="165">
        <f t="shared" si="0"/>
        <v>62017.315717505626</v>
      </c>
      <c r="K12" s="167"/>
      <c r="L12" s="165">
        <f>J1*(0.0009+0.0002)*2</f>
        <v>60533.034628000001</v>
      </c>
      <c r="M12" s="534"/>
      <c r="N12" s="534"/>
      <c r="O12" s="534"/>
      <c r="P12" s="159"/>
      <c r="Q12" s="159"/>
    </row>
    <row r="13" spans="1:17">
      <c r="A13" s="544" t="s">
        <v>298</v>
      </c>
      <c r="B13" s="545"/>
      <c r="C13" s="546"/>
      <c r="D13" s="37" t="s">
        <v>293</v>
      </c>
      <c r="E13" s="37"/>
      <c r="F13" s="162">
        <v>8.0000000000000002E-3</v>
      </c>
      <c r="G13" s="163"/>
      <c r="I13" s="164"/>
      <c r="J13" s="165">
        <f t="shared" si="0"/>
        <v>165379.50858001501</v>
      </c>
      <c r="K13" s="167"/>
      <c r="L13" s="165"/>
      <c r="M13" s="534"/>
      <c r="N13" s="534"/>
      <c r="O13" s="534"/>
      <c r="P13" s="159"/>
      <c r="Q13" s="159"/>
    </row>
    <row r="14" spans="1:17">
      <c r="A14" s="533" t="s">
        <v>299</v>
      </c>
      <c r="B14" s="533"/>
      <c r="C14" s="533"/>
      <c r="D14" s="161" t="s">
        <v>293</v>
      </c>
      <c r="E14" s="161"/>
      <c r="F14" s="162">
        <v>5.0000000000000001E-3</v>
      </c>
      <c r="G14" s="163"/>
      <c r="I14" s="164"/>
      <c r="J14" s="165">
        <f t="shared" si="0"/>
        <v>103362.19286250939</v>
      </c>
      <c r="K14" s="167"/>
      <c r="L14" s="165"/>
      <c r="M14" s="547"/>
      <c r="N14" s="547"/>
      <c r="O14" s="547"/>
      <c r="P14" s="159"/>
      <c r="Q14" s="159"/>
    </row>
    <row r="15" spans="1:17">
      <c r="A15" s="541" t="s">
        <v>300</v>
      </c>
      <c r="B15" s="542"/>
      <c r="C15" s="543"/>
      <c r="D15" s="541" t="s">
        <v>293</v>
      </c>
      <c r="E15" s="543"/>
      <c r="F15" s="162">
        <v>8.9999999999999993E-3</v>
      </c>
      <c r="G15" s="163"/>
      <c r="I15" s="164"/>
      <c r="J15" s="165">
        <f t="shared" si="0"/>
        <v>186051.94715251686</v>
      </c>
      <c r="K15" s="167"/>
      <c r="L15" s="165">
        <f>8000*18</f>
        <v>144000</v>
      </c>
      <c r="M15" s="534"/>
      <c r="N15" s="534"/>
      <c r="O15" s="534"/>
      <c r="P15" s="159"/>
      <c r="Q15" s="159"/>
    </row>
    <row r="16" spans="1:17">
      <c r="A16" s="541" t="s">
        <v>301</v>
      </c>
      <c r="B16" s="542"/>
      <c r="C16" s="543"/>
      <c r="D16" s="161" t="s">
        <v>293</v>
      </c>
      <c r="E16" s="161"/>
      <c r="F16" s="162">
        <v>7.0000000000000001E-3</v>
      </c>
      <c r="G16" s="163"/>
      <c r="I16" s="164"/>
      <c r="J16" s="165">
        <f t="shared" si="0"/>
        <v>144707.07000751313</v>
      </c>
      <c r="K16" s="167"/>
      <c r="L16" s="168">
        <f>7*50*4*18*2</f>
        <v>50400</v>
      </c>
      <c r="M16" s="534"/>
      <c r="N16" s="534"/>
      <c r="O16" s="534"/>
      <c r="P16" s="159"/>
      <c r="Q16" s="159"/>
    </row>
    <row r="17" spans="1:17" ht="15.75" thickBot="1">
      <c r="A17" s="541" t="s">
        <v>302</v>
      </c>
      <c r="B17" s="542"/>
      <c r="C17" s="543"/>
      <c r="D17" s="161" t="s">
        <v>293</v>
      </c>
      <c r="E17" s="161"/>
      <c r="F17" s="162">
        <v>0</v>
      </c>
      <c r="G17" s="163"/>
      <c r="I17" s="164"/>
      <c r="J17" s="165">
        <f t="shared" si="0"/>
        <v>0</v>
      </c>
      <c r="K17" s="167"/>
      <c r="L17" s="168">
        <v>0</v>
      </c>
      <c r="M17" s="534"/>
      <c r="N17" s="534"/>
      <c r="O17" s="534"/>
      <c r="P17" s="159"/>
      <c r="Q17" s="159"/>
    </row>
    <row r="18" spans="1:17" ht="15.75" thickBot="1">
      <c r="C18" s="38"/>
      <c r="D18" s="169"/>
      <c r="E18" s="170" t="s">
        <v>303</v>
      </c>
      <c r="F18" s="171">
        <f>SUM(F7:F17)</f>
        <v>8.6000000000000007E-2</v>
      </c>
      <c r="G18" s="172"/>
      <c r="J18" s="173"/>
      <c r="L18" s="159"/>
      <c r="M18" s="159"/>
      <c r="N18" s="159"/>
      <c r="O18" s="159"/>
      <c r="P18" s="159"/>
      <c r="Q18" s="159"/>
    </row>
    <row r="19" spans="1:17">
      <c r="J19" s="173"/>
    </row>
    <row r="20" spans="1:17">
      <c r="A20" s="160" t="s">
        <v>304</v>
      </c>
      <c r="B20" s="160"/>
      <c r="C20" s="160"/>
      <c r="D20" s="160"/>
      <c r="J20" s="173"/>
    </row>
    <row r="21" spans="1:17">
      <c r="A21" s="539" t="s">
        <v>305</v>
      </c>
      <c r="B21" s="539"/>
      <c r="C21" s="539"/>
      <c r="D21" s="161" t="s">
        <v>293</v>
      </c>
      <c r="E21" s="161"/>
      <c r="F21" s="162">
        <v>8.0000000000000002E-3</v>
      </c>
      <c r="G21" s="163"/>
      <c r="J21" s="165">
        <f>F21*J$2</f>
        <v>165379.50858001501</v>
      </c>
      <c r="L21" s="165">
        <f>(8000+7000+6000)*1.5*18/6</f>
        <v>94500</v>
      </c>
    </row>
    <row r="22" spans="1:17">
      <c r="A22" s="533" t="s">
        <v>306</v>
      </c>
      <c r="B22" s="533"/>
      <c r="C22" s="533"/>
      <c r="D22" s="161" t="s">
        <v>293</v>
      </c>
      <c r="E22" s="161"/>
      <c r="F22" s="162">
        <v>1.6250000000000001E-2</v>
      </c>
      <c r="G22" s="163"/>
      <c r="J22" s="165">
        <f>F22*J$2</f>
        <v>335927.12680315546</v>
      </c>
      <c r="L22" s="165"/>
    </row>
    <row r="23" spans="1:17">
      <c r="A23" s="533" t="s">
        <v>307</v>
      </c>
      <c r="B23" s="533"/>
      <c r="C23" s="533"/>
      <c r="D23" s="161" t="s">
        <v>293</v>
      </c>
      <c r="E23" s="161"/>
      <c r="F23" s="162">
        <v>3.5000000000000001E-3</v>
      </c>
      <c r="G23" s="163"/>
      <c r="J23" s="165">
        <f>F23*J$2</f>
        <v>72353.535003756566</v>
      </c>
      <c r="L23" s="165"/>
    </row>
    <row r="24" spans="1:17" ht="15.75" thickBot="1"/>
    <row r="25" spans="1:17" ht="15.75" thickBot="1">
      <c r="D25" s="169"/>
      <c r="E25" s="170" t="s">
        <v>308</v>
      </c>
      <c r="F25" s="174">
        <f>SUM(F21:F24)</f>
        <v>2.775E-2</v>
      </c>
      <c r="G25" s="175"/>
    </row>
    <row r="26" spans="1:17" ht="15.75" thickBot="1"/>
    <row r="27" spans="1:17" ht="15.75" thickBot="1">
      <c r="E27" s="176" t="s">
        <v>309</v>
      </c>
      <c r="F27" s="171">
        <f>ROUND(F18+F25, 4)</f>
        <v>0.1138</v>
      </c>
      <c r="G27" s="177"/>
      <c r="I27" s="164"/>
    </row>
    <row r="28" spans="1:17">
      <c r="I28" s="178"/>
    </row>
    <row r="30" spans="1:17">
      <c r="B30" s="94"/>
      <c r="C30" s="179"/>
      <c r="E30" s="95"/>
    </row>
    <row r="31" spans="1:17">
      <c r="B31" s="94"/>
      <c r="C31" s="179"/>
      <c r="E31" s="95"/>
    </row>
    <row r="32" spans="1:17">
      <c r="B32" s="94"/>
      <c r="C32" s="179"/>
      <c r="E32" s="95"/>
      <c r="I32" s="180"/>
    </row>
    <row r="33" spans="1:8">
      <c r="A33" s="181" t="s">
        <v>310</v>
      </c>
      <c r="B33" s="182">
        <v>0</v>
      </c>
      <c r="C33" s="183"/>
      <c r="D33" s="183"/>
      <c r="E33" s="183"/>
    </row>
    <row r="34" spans="1:8">
      <c r="A34" s="38" t="s">
        <v>311</v>
      </c>
      <c r="B34" s="184">
        <v>0.1</v>
      </c>
      <c r="C34" s="38"/>
    </row>
    <row r="35" spans="1:8">
      <c r="A35" s="38" t="s">
        <v>282</v>
      </c>
      <c r="B35" s="184">
        <v>0.21</v>
      </c>
      <c r="C35" s="38"/>
    </row>
    <row r="36" spans="1:8">
      <c r="A36" s="38"/>
      <c r="B36" s="38"/>
      <c r="C36" s="38"/>
    </row>
    <row r="42" spans="1:8">
      <c r="A42" s="38"/>
      <c r="B42" s="38"/>
      <c r="C42" s="38"/>
      <c r="D42" s="38"/>
      <c r="E42" s="38"/>
      <c r="F42" s="38"/>
      <c r="G42" s="38"/>
      <c r="H42" s="38"/>
    </row>
    <row r="43" spans="1:8">
      <c r="A43" s="549"/>
      <c r="B43" s="549"/>
      <c r="C43" s="549"/>
      <c r="D43" s="38"/>
      <c r="E43" s="38"/>
      <c r="F43" s="163"/>
      <c r="G43" s="163"/>
      <c r="H43" s="38"/>
    </row>
    <row r="44" spans="1:8">
      <c r="A44" s="548"/>
      <c r="B44" s="548"/>
      <c r="C44" s="548"/>
      <c r="D44" s="38"/>
      <c r="E44" s="38"/>
      <c r="F44" s="163"/>
      <c r="G44" s="163"/>
      <c r="H44" s="38"/>
    </row>
    <row r="45" spans="1:8">
      <c r="A45" s="548"/>
      <c r="B45" s="548"/>
      <c r="C45" s="548"/>
      <c r="D45" s="38"/>
      <c r="E45" s="38"/>
      <c r="F45" s="163"/>
      <c r="G45" s="163"/>
      <c r="H45" s="38"/>
    </row>
    <row r="46" spans="1:8">
      <c r="A46" s="548"/>
      <c r="B46" s="548"/>
      <c r="C46" s="548"/>
      <c r="D46" s="38"/>
      <c r="E46" s="38"/>
      <c r="F46" s="163"/>
      <c r="G46" s="163"/>
      <c r="H46" s="38"/>
    </row>
    <row r="47" spans="1:8">
      <c r="A47" s="550"/>
      <c r="B47" s="550"/>
      <c r="C47" s="550"/>
      <c r="D47" s="38"/>
      <c r="E47" s="38"/>
      <c r="F47" s="163"/>
      <c r="G47" s="163"/>
      <c r="H47" s="38"/>
    </row>
    <row r="48" spans="1:8">
      <c r="A48" s="548"/>
      <c r="B48" s="548"/>
      <c r="C48" s="548"/>
      <c r="D48" s="38"/>
      <c r="E48" s="38"/>
      <c r="F48" s="163"/>
      <c r="G48" s="163"/>
      <c r="H48" s="38"/>
    </row>
    <row r="49" spans="1:8">
      <c r="A49" s="548"/>
      <c r="B49" s="548"/>
      <c r="C49" s="548"/>
      <c r="D49" s="548"/>
      <c r="E49" s="548"/>
      <c r="F49" s="163"/>
      <c r="G49" s="163"/>
      <c r="H49" s="38"/>
    </row>
    <row r="50" spans="1:8">
      <c r="A50" s="548"/>
      <c r="B50" s="548"/>
      <c r="C50" s="548"/>
      <c r="D50" s="38"/>
      <c r="E50" s="38"/>
      <c r="F50" s="163"/>
      <c r="G50" s="163"/>
      <c r="H50" s="38"/>
    </row>
    <row r="51" spans="1:8">
      <c r="A51" s="38"/>
      <c r="B51" s="38"/>
      <c r="C51" s="38"/>
      <c r="D51" s="38"/>
      <c r="E51" s="38"/>
      <c r="F51" s="185"/>
      <c r="G51" s="185"/>
      <c r="H51" s="38"/>
    </row>
    <row r="52" spans="1:8">
      <c r="A52" s="38"/>
      <c r="B52" s="38"/>
      <c r="C52" s="38"/>
      <c r="D52" s="38"/>
      <c r="E52" s="38"/>
      <c r="F52" s="38"/>
      <c r="G52" s="38"/>
      <c r="H52" s="38"/>
    </row>
    <row r="53" spans="1:8">
      <c r="A53" s="38"/>
      <c r="B53" s="38"/>
      <c r="C53" s="38"/>
      <c r="D53" s="38"/>
      <c r="E53" s="38"/>
      <c r="F53" s="38"/>
      <c r="G53" s="38"/>
      <c r="H53" s="38"/>
    </row>
  </sheetData>
  <mergeCells count="38">
    <mergeCell ref="D49:E49"/>
    <mergeCell ref="A50:C50"/>
    <mergeCell ref="A21:C21"/>
    <mergeCell ref="A22:C22"/>
    <mergeCell ref="A23:C23"/>
    <mergeCell ref="A43:C43"/>
    <mergeCell ref="A44:C44"/>
    <mergeCell ref="A45:C45"/>
    <mergeCell ref="A46:C46"/>
    <mergeCell ref="A47:C47"/>
    <mergeCell ref="A48:C48"/>
    <mergeCell ref="A49:C49"/>
    <mergeCell ref="A17:C17"/>
    <mergeCell ref="M17:O17"/>
    <mergeCell ref="A12:C12"/>
    <mergeCell ref="M12:O12"/>
    <mergeCell ref="A13:C13"/>
    <mergeCell ref="M13:O13"/>
    <mergeCell ref="A14:C14"/>
    <mergeCell ref="M14:O14"/>
    <mergeCell ref="A15:C15"/>
    <mergeCell ref="D15:E15"/>
    <mergeCell ref="M15:O15"/>
    <mergeCell ref="A16:C16"/>
    <mergeCell ref="M16:O16"/>
    <mergeCell ref="A9:C9"/>
    <mergeCell ref="M9:O9"/>
    <mergeCell ref="A10:C10"/>
    <mergeCell ref="M10:O10"/>
    <mergeCell ref="A11:C11"/>
    <mergeCell ref="M11:O11"/>
    <mergeCell ref="A8:C8"/>
    <mergeCell ref="M8:O8"/>
    <mergeCell ref="A2:H2"/>
    <mergeCell ref="J5:J6"/>
    <mergeCell ref="L5:L6"/>
    <mergeCell ref="A7:C7"/>
    <mergeCell ref="M7:O7"/>
  </mergeCells>
  <pageMargins left="0.78740157480314965" right="0.39370078740157483" top="0.59055118110236227" bottom="0.59055118110236227" header="0" footer="0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topLeftCell="A26" zoomScaleSheetLayoutView="100" workbookViewId="0">
      <selection activeCell="N2" sqref="N2"/>
    </sheetView>
  </sheetViews>
  <sheetFormatPr baseColWidth="10" defaultColWidth="9.140625" defaultRowHeight="11.25"/>
  <cols>
    <col min="1" max="1" width="4.5703125" style="504" customWidth="1"/>
    <col min="2" max="2" width="23.85546875" style="96" customWidth="1"/>
    <col min="3" max="3" width="7.28515625" style="500" customWidth="1"/>
    <col min="4" max="4" width="8.140625" style="500" customWidth="1"/>
    <col min="5" max="5" width="9.85546875" style="500" customWidth="1"/>
    <col min="6" max="8" width="8.140625" style="500" customWidth="1"/>
    <col min="9" max="13" width="8.140625" style="96" customWidth="1"/>
    <col min="14" max="15" width="8.140625" style="97" customWidth="1"/>
    <col min="16" max="16" width="8.140625" style="96" customWidth="1"/>
    <col min="17" max="17" width="7.140625" style="97" bestFit="1" customWidth="1"/>
    <col min="18" max="18" width="9.140625" style="97" customWidth="1"/>
    <col min="19" max="23" width="8.140625" style="96" customWidth="1"/>
    <col min="24" max="16384" width="9.140625" style="96"/>
  </cols>
  <sheetData>
    <row r="1" spans="1:21" ht="14.1" customHeight="1"/>
    <row r="2" spans="1:21" ht="14.1" customHeight="1"/>
    <row r="3" spans="1:21" ht="14.1" customHeight="1">
      <c r="Q3" s="98"/>
      <c r="R3" s="98"/>
    </row>
    <row r="4" spans="1:21" ht="14.1" customHeight="1">
      <c r="Q4" s="33"/>
      <c r="R4" s="33"/>
    </row>
    <row r="5" spans="1:21" ht="14.1" customHeight="1">
      <c r="Q5" s="98"/>
      <c r="R5" s="98"/>
    </row>
    <row r="6" spans="1:21" ht="9.9499999999999993" customHeight="1">
      <c r="A6" s="505"/>
      <c r="B6" s="99"/>
      <c r="C6" s="515"/>
      <c r="D6" s="515"/>
      <c r="E6" s="515"/>
      <c r="F6" s="515"/>
      <c r="G6" s="515"/>
      <c r="H6" s="515"/>
      <c r="I6" s="99"/>
      <c r="J6" s="99"/>
      <c r="K6" s="99"/>
      <c r="L6" s="99"/>
      <c r="M6" s="99"/>
      <c r="N6" s="100"/>
      <c r="O6" s="100"/>
      <c r="P6" s="99"/>
      <c r="Q6" s="100"/>
      <c r="R6" s="100"/>
      <c r="S6" s="101"/>
    </row>
    <row r="7" spans="1:21" ht="14.1" customHeight="1">
      <c r="A7" s="506" t="str">
        <f>'Coef. resumen'!A8</f>
        <v>LICITACIÓN PÚBLICA Nº 41/13</v>
      </c>
      <c r="B7" s="102"/>
      <c r="C7" s="516"/>
      <c r="D7" s="516"/>
      <c r="E7" s="516"/>
      <c r="F7" s="516"/>
      <c r="G7" s="516"/>
      <c r="H7" s="516"/>
      <c r="I7" s="102"/>
      <c r="J7" s="102"/>
      <c r="K7" s="102"/>
      <c r="L7" s="57" t="str">
        <f>'Coef. resumen'!E8</f>
        <v>A FECHA:</v>
      </c>
      <c r="M7" s="57" t="str">
        <f>'Coef. resumen'!F8</f>
        <v>Octubre 2013</v>
      </c>
      <c r="N7" s="103"/>
      <c r="O7" s="103"/>
      <c r="P7" s="102"/>
      <c r="Q7" s="103"/>
      <c r="R7" s="103"/>
      <c r="S7" s="104"/>
    </row>
    <row r="8" spans="1:21" ht="9.9499999999999993" customHeight="1">
      <c r="A8" s="507"/>
      <c r="B8" s="102"/>
      <c r="C8" s="516"/>
      <c r="D8" s="516"/>
      <c r="E8" s="516"/>
      <c r="F8" s="516"/>
      <c r="G8" s="516"/>
      <c r="H8" s="516"/>
      <c r="I8" s="102"/>
      <c r="J8" s="102"/>
      <c r="K8" s="102"/>
      <c r="L8" s="102"/>
      <c r="M8" s="102"/>
      <c r="N8" s="103"/>
      <c r="O8" s="103"/>
      <c r="P8" s="102"/>
      <c r="Q8" s="103"/>
      <c r="R8" s="103"/>
      <c r="S8" s="104"/>
    </row>
    <row r="9" spans="1:21" ht="14.1" customHeight="1">
      <c r="A9" s="508" t="str">
        <f>'Coef. resumen'!A10</f>
        <v>OBRA: Urbanizacion Valle Chico 1ª etapa: Obras de Infraestructura Pública y Nexos</v>
      </c>
      <c r="B9" s="105"/>
      <c r="C9" s="517"/>
      <c r="D9" s="516"/>
      <c r="E9" s="516"/>
      <c r="F9" s="516"/>
      <c r="G9" s="516"/>
      <c r="H9" s="516"/>
      <c r="I9" s="102"/>
      <c r="J9" s="102"/>
      <c r="K9" s="102"/>
      <c r="L9" s="57" t="str">
        <f>'Coef. resumen'!A12</f>
        <v>LOCALIDAD: Esquel</v>
      </c>
      <c r="M9" s="102"/>
      <c r="N9" s="103"/>
      <c r="O9" s="103"/>
      <c r="P9" s="102"/>
      <c r="Q9" s="103"/>
      <c r="R9" s="103"/>
      <c r="S9" s="104"/>
    </row>
    <row r="10" spans="1:21" ht="9.9499999999999993" customHeight="1">
      <c r="A10" s="509"/>
      <c r="B10" s="106"/>
      <c r="C10" s="518"/>
      <c r="D10" s="519"/>
      <c r="E10" s="519"/>
      <c r="F10" s="519"/>
      <c r="G10" s="519"/>
      <c r="H10" s="519"/>
      <c r="I10" s="107"/>
      <c r="J10" s="107"/>
      <c r="K10" s="107"/>
      <c r="L10" s="107"/>
      <c r="M10" s="107"/>
      <c r="N10" s="108"/>
      <c r="O10" s="108"/>
      <c r="P10" s="107"/>
      <c r="Q10" s="108"/>
      <c r="R10" s="108"/>
      <c r="S10" s="109"/>
    </row>
    <row r="11" spans="1:21" ht="14.1" customHeight="1"/>
    <row r="12" spans="1:21" ht="18" customHeight="1">
      <c r="A12" s="551" t="s">
        <v>200</v>
      </c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3"/>
    </row>
    <row r="13" spans="1:21" hidden="1">
      <c r="B13" s="96" t="s">
        <v>201</v>
      </c>
      <c r="C13" s="520">
        <v>18</v>
      </c>
    </row>
    <row r="15" spans="1:21" s="112" customFormat="1" ht="14.1" customHeight="1">
      <c r="A15" s="554" t="s">
        <v>202</v>
      </c>
      <c r="B15" s="556" t="s">
        <v>203</v>
      </c>
      <c r="C15" s="558" t="s">
        <v>204</v>
      </c>
      <c r="D15" s="560" t="s">
        <v>205</v>
      </c>
      <c r="E15" s="560" t="s">
        <v>205</v>
      </c>
      <c r="F15" s="560" t="s">
        <v>206</v>
      </c>
      <c r="G15" s="560" t="s">
        <v>207</v>
      </c>
      <c r="H15" s="560" t="s">
        <v>208</v>
      </c>
      <c r="I15" s="562" t="s">
        <v>209</v>
      </c>
      <c r="J15" s="563"/>
      <c r="K15" s="564"/>
      <c r="L15" s="565" t="s">
        <v>210</v>
      </c>
      <c r="M15" s="567" t="s">
        <v>211</v>
      </c>
      <c r="N15" s="563"/>
      <c r="O15" s="563"/>
      <c r="P15" s="568"/>
      <c r="Q15" s="569" t="s">
        <v>212</v>
      </c>
      <c r="R15" s="565" t="s">
        <v>213</v>
      </c>
      <c r="S15" s="565" t="s">
        <v>214</v>
      </c>
      <c r="T15" s="110" t="s">
        <v>215</v>
      </c>
      <c r="U15" s="111">
        <v>6</v>
      </c>
    </row>
    <row r="16" spans="1:21" s="112" customFormat="1" ht="14.1" customHeight="1">
      <c r="A16" s="555"/>
      <c r="B16" s="557"/>
      <c r="C16" s="559"/>
      <c r="D16" s="561"/>
      <c r="E16" s="561"/>
      <c r="F16" s="561" t="s">
        <v>216</v>
      </c>
      <c r="G16" s="561" t="s">
        <v>217</v>
      </c>
      <c r="H16" s="561" t="s">
        <v>218</v>
      </c>
      <c r="I16" s="113" t="s">
        <v>219</v>
      </c>
      <c r="J16" s="114" t="s">
        <v>220</v>
      </c>
      <c r="K16" s="115" t="s">
        <v>221</v>
      </c>
      <c r="L16" s="566" t="s">
        <v>222</v>
      </c>
      <c r="M16" s="114" t="s">
        <v>223</v>
      </c>
      <c r="N16" s="116" t="s">
        <v>224</v>
      </c>
      <c r="O16" s="113" t="s">
        <v>225</v>
      </c>
      <c r="P16" s="115" t="s">
        <v>226</v>
      </c>
      <c r="Q16" s="570"/>
      <c r="R16" s="566"/>
      <c r="S16" s="566"/>
    </row>
    <row r="17" spans="1:19" ht="12">
      <c r="A17" s="510"/>
      <c r="B17" s="117"/>
      <c r="C17" s="501" t="s">
        <v>227</v>
      </c>
      <c r="D17" s="501" t="s">
        <v>228</v>
      </c>
      <c r="E17" s="501" t="s">
        <v>229</v>
      </c>
      <c r="F17" s="501" t="s">
        <v>229</v>
      </c>
      <c r="G17" s="521" t="s">
        <v>230</v>
      </c>
      <c r="H17" s="501" t="s">
        <v>230</v>
      </c>
      <c r="I17" s="118" t="s">
        <v>231</v>
      </c>
      <c r="J17" s="119" t="s">
        <v>231</v>
      </c>
      <c r="K17" s="117" t="s">
        <v>231</v>
      </c>
      <c r="L17" s="118" t="s">
        <v>231</v>
      </c>
      <c r="M17" s="119"/>
      <c r="N17" s="117" t="s">
        <v>232</v>
      </c>
      <c r="O17" s="118" t="s">
        <v>233</v>
      </c>
      <c r="P17" s="117" t="s">
        <v>231</v>
      </c>
      <c r="Q17" s="117" t="s">
        <v>231</v>
      </c>
      <c r="R17" s="117" t="s">
        <v>231</v>
      </c>
      <c r="S17" s="117" t="s">
        <v>234</v>
      </c>
    </row>
    <row r="18" spans="1:19" s="121" customFormat="1" ht="18" customHeight="1">
      <c r="A18" s="511" t="s">
        <v>185</v>
      </c>
      <c r="B18" s="120" t="s">
        <v>186</v>
      </c>
      <c r="C18" s="502" t="s">
        <v>187</v>
      </c>
      <c r="D18" s="502"/>
      <c r="E18" s="502" t="s">
        <v>235</v>
      </c>
      <c r="F18" s="502" t="s">
        <v>189</v>
      </c>
      <c r="G18" s="502" t="s">
        <v>190</v>
      </c>
      <c r="H18" s="502" t="s">
        <v>236</v>
      </c>
      <c r="I18" s="120" t="s">
        <v>192</v>
      </c>
      <c r="J18" s="120" t="s">
        <v>193</v>
      </c>
      <c r="K18" s="120" t="s">
        <v>237</v>
      </c>
      <c r="L18" s="120" t="s">
        <v>238</v>
      </c>
      <c r="M18" s="120" t="s">
        <v>239</v>
      </c>
      <c r="N18" s="120" t="s">
        <v>240</v>
      </c>
      <c r="O18" s="120" t="s">
        <v>241</v>
      </c>
      <c r="P18" s="120" t="s">
        <v>242</v>
      </c>
      <c r="Q18" s="120" t="s">
        <v>243</v>
      </c>
      <c r="R18" s="120" t="s">
        <v>244</v>
      </c>
      <c r="S18" s="120" t="s">
        <v>245</v>
      </c>
    </row>
    <row r="19" spans="1:19" s="127" customFormat="1" ht="12.95" customHeight="1">
      <c r="A19" s="512">
        <v>1</v>
      </c>
      <c r="B19" s="123" t="s">
        <v>246</v>
      </c>
      <c r="C19" s="128">
        <v>110</v>
      </c>
      <c r="D19" s="128">
        <v>98000</v>
      </c>
      <c r="E19" s="128">
        <f>D19*U$15</f>
        <v>588000</v>
      </c>
      <c r="F19" s="128">
        <f>0.45*E19</f>
        <v>264600</v>
      </c>
      <c r="G19" s="128">
        <v>10000</v>
      </c>
      <c r="H19" s="128">
        <v>2000</v>
      </c>
      <c r="I19" s="124">
        <f t="shared" ref="I19:I43" si="0">(E19-F19)/G19</f>
        <v>32.340000000000003</v>
      </c>
      <c r="J19" s="124">
        <f t="shared" ref="J19:J43" si="1">E19*0.5*$D$14/(H19*100)</f>
        <v>0</v>
      </c>
      <c r="K19" s="124">
        <f t="shared" ref="K19:K43" si="2">I19+J19</f>
        <v>32.340000000000003</v>
      </c>
      <c r="L19" s="124">
        <f t="shared" ref="L19:L43" si="3">0.6*K19</f>
        <v>19.404</v>
      </c>
      <c r="M19" s="123" t="s">
        <v>247</v>
      </c>
      <c r="N19" s="125">
        <f>6/1.21</f>
        <v>4.9586776859504136</v>
      </c>
      <c r="O19" s="122">
        <v>0.25</v>
      </c>
      <c r="P19" s="124">
        <f t="shared" ref="P19:P43" si="4">C19*N19*O19</f>
        <v>136.36363636363637</v>
      </c>
      <c r="Q19" s="124">
        <f>0.5*P19</f>
        <v>68.181818181818187</v>
      </c>
      <c r="R19" s="126">
        <f>P19+Q19</f>
        <v>204.54545454545456</v>
      </c>
      <c r="S19" s="126">
        <f>K19+L19+R19</f>
        <v>256.28945454545453</v>
      </c>
    </row>
    <row r="20" spans="1:19" s="127" customFormat="1" ht="12.95" customHeight="1">
      <c r="A20" s="512">
        <v>2</v>
      </c>
      <c r="B20" s="128" t="s">
        <v>248</v>
      </c>
      <c r="C20" s="128">
        <v>140</v>
      </c>
      <c r="D20" s="128">
        <v>33000</v>
      </c>
      <c r="E20" s="128">
        <f t="shared" ref="E20:E43" si="5">D20*U$15</f>
        <v>198000</v>
      </c>
      <c r="F20" s="128">
        <f>0.5*E20</f>
        <v>99000</v>
      </c>
      <c r="G20" s="128">
        <v>10000</v>
      </c>
      <c r="H20" s="128">
        <v>2000</v>
      </c>
      <c r="I20" s="124">
        <f t="shared" si="0"/>
        <v>9.9</v>
      </c>
      <c r="J20" s="124">
        <f t="shared" si="1"/>
        <v>0</v>
      </c>
      <c r="K20" s="124">
        <f t="shared" si="2"/>
        <v>9.9</v>
      </c>
      <c r="L20" s="124">
        <f t="shared" si="3"/>
        <v>5.94</v>
      </c>
      <c r="M20" s="123" t="s">
        <v>247</v>
      </c>
      <c r="N20" s="125">
        <f>N19</f>
        <v>4.9586776859504136</v>
      </c>
      <c r="O20" s="122">
        <v>0.125</v>
      </c>
      <c r="P20" s="125">
        <f t="shared" si="4"/>
        <v>86.776859504132233</v>
      </c>
      <c r="Q20" s="124">
        <f>0.35*P20</f>
        <v>30.371900826446279</v>
      </c>
      <c r="R20" s="126">
        <f t="shared" ref="R20:R43" si="6">P20+Q20</f>
        <v>117.14876033057851</v>
      </c>
      <c r="S20" s="126">
        <f t="shared" ref="S20:S43" si="7">K20+L20+R20</f>
        <v>132.98876033057851</v>
      </c>
    </row>
    <row r="21" spans="1:19" s="127" customFormat="1" ht="12.95" customHeight="1">
      <c r="A21" s="512">
        <v>3</v>
      </c>
      <c r="B21" s="123" t="s">
        <v>249</v>
      </c>
      <c r="C21" s="128">
        <v>125</v>
      </c>
      <c r="D21" s="128">
        <v>120000</v>
      </c>
      <c r="E21" s="128">
        <f t="shared" si="5"/>
        <v>720000</v>
      </c>
      <c r="F21" s="128">
        <f>0.2*E21</f>
        <v>144000</v>
      </c>
      <c r="G21" s="128">
        <v>10000</v>
      </c>
      <c r="H21" s="128">
        <v>2000</v>
      </c>
      <c r="I21" s="124">
        <f t="shared" si="0"/>
        <v>57.6</v>
      </c>
      <c r="J21" s="124">
        <f t="shared" si="1"/>
        <v>0</v>
      </c>
      <c r="K21" s="124">
        <f t="shared" si="2"/>
        <v>57.6</v>
      </c>
      <c r="L21" s="124">
        <f t="shared" si="3"/>
        <v>34.56</v>
      </c>
      <c r="M21" s="123" t="s">
        <v>247</v>
      </c>
      <c r="N21" s="125">
        <f>N20</f>
        <v>4.9586776859504136</v>
      </c>
      <c r="O21" s="122">
        <v>0.155</v>
      </c>
      <c r="P21" s="125">
        <f t="shared" si="4"/>
        <v>96.074380165289256</v>
      </c>
      <c r="Q21" s="124">
        <f>0.5*P21</f>
        <v>48.037190082644628</v>
      </c>
      <c r="R21" s="126">
        <f t="shared" si="6"/>
        <v>144.11157024793388</v>
      </c>
      <c r="S21" s="126">
        <f t="shared" si="7"/>
        <v>236.27157024793388</v>
      </c>
    </row>
    <row r="22" spans="1:19" s="127" customFormat="1" ht="12.95" customHeight="1">
      <c r="A22" s="512">
        <v>4</v>
      </c>
      <c r="B22" s="123" t="s">
        <v>250</v>
      </c>
      <c r="C22" s="128">
        <v>110</v>
      </c>
      <c r="D22" s="128">
        <v>95000</v>
      </c>
      <c r="E22" s="128">
        <f t="shared" si="5"/>
        <v>570000</v>
      </c>
      <c r="F22" s="128">
        <f>0.5*E22</f>
        <v>285000</v>
      </c>
      <c r="G22" s="128">
        <v>10000</v>
      </c>
      <c r="H22" s="128">
        <v>2000</v>
      </c>
      <c r="I22" s="124">
        <f t="shared" si="0"/>
        <v>28.5</v>
      </c>
      <c r="J22" s="124">
        <f t="shared" si="1"/>
        <v>0</v>
      </c>
      <c r="K22" s="124">
        <f t="shared" si="2"/>
        <v>28.5</v>
      </c>
      <c r="L22" s="124">
        <f t="shared" si="3"/>
        <v>17.099999999999998</v>
      </c>
      <c r="M22" s="123" t="s">
        <v>247</v>
      </c>
      <c r="N22" s="125">
        <f>N19</f>
        <v>4.9586776859504136</v>
      </c>
      <c r="O22" s="122">
        <v>0.155</v>
      </c>
      <c r="P22" s="125">
        <f t="shared" si="4"/>
        <v>84.545454545454547</v>
      </c>
      <c r="Q22" s="124">
        <f>0.5*P22</f>
        <v>42.272727272727273</v>
      </c>
      <c r="R22" s="126">
        <f t="shared" si="6"/>
        <v>126.81818181818181</v>
      </c>
      <c r="S22" s="126">
        <f t="shared" si="7"/>
        <v>172.41818181818181</v>
      </c>
    </row>
    <row r="23" spans="1:19" s="127" customFormat="1" ht="12.95" customHeight="1">
      <c r="A23" s="512">
        <v>5</v>
      </c>
      <c r="B23" s="129" t="s">
        <v>251</v>
      </c>
      <c r="C23" s="522">
        <v>141</v>
      </c>
      <c r="D23" s="522">
        <v>200000</v>
      </c>
      <c r="E23" s="128">
        <f t="shared" si="5"/>
        <v>1200000</v>
      </c>
      <c r="F23" s="522">
        <f>0.5*E23</f>
        <v>600000</v>
      </c>
      <c r="G23" s="522">
        <v>10000</v>
      </c>
      <c r="H23" s="522">
        <v>2000</v>
      </c>
      <c r="I23" s="130">
        <f t="shared" si="0"/>
        <v>60</v>
      </c>
      <c r="J23" s="130">
        <f t="shared" si="1"/>
        <v>0</v>
      </c>
      <c r="K23" s="130">
        <f t="shared" si="2"/>
        <v>60</v>
      </c>
      <c r="L23" s="130">
        <f t="shared" si="3"/>
        <v>36</v>
      </c>
      <c r="M23" s="129" t="s">
        <v>247</v>
      </c>
      <c r="N23" s="131">
        <f>N21</f>
        <v>4.9586776859504136</v>
      </c>
      <c r="O23" s="130">
        <v>0.24</v>
      </c>
      <c r="P23" s="131">
        <f t="shared" si="4"/>
        <v>167.80165289256198</v>
      </c>
      <c r="Q23" s="130">
        <f>0.5*P23</f>
        <v>83.900826446280988</v>
      </c>
      <c r="R23" s="126">
        <f t="shared" si="6"/>
        <v>251.70247933884298</v>
      </c>
      <c r="S23" s="126">
        <f t="shared" si="7"/>
        <v>347.70247933884298</v>
      </c>
    </row>
    <row r="24" spans="1:19" s="127" customFormat="1" ht="12.95" customHeight="1">
      <c r="A24" s="512">
        <v>6</v>
      </c>
      <c r="B24" s="123" t="s">
        <v>252</v>
      </c>
      <c r="C24" s="128">
        <v>125</v>
      </c>
      <c r="D24" s="128">
        <v>112000</v>
      </c>
      <c r="E24" s="128">
        <f t="shared" si="5"/>
        <v>672000</v>
      </c>
      <c r="F24" s="128">
        <f>0.35*E24</f>
        <v>235199.99999999997</v>
      </c>
      <c r="G24" s="128">
        <v>10000</v>
      </c>
      <c r="H24" s="128">
        <v>2000</v>
      </c>
      <c r="I24" s="124">
        <f t="shared" si="0"/>
        <v>43.68</v>
      </c>
      <c r="J24" s="124">
        <f t="shared" si="1"/>
        <v>0</v>
      </c>
      <c r="K24" s="124">
        <f t="shared" si="2"/>
        <v>43.68</v>
      </c>
      <c r="L24" s="124">
        <f t="shared" si="3"/>
        <v>26.207999999999998</v>
      </c>
      <c r="M24" s="123" t="s">
        <v>247</v>
      </c>
      <c r="N24" s="125">
        <f>N21</f>
        <v>4.9586776859504136</v>
      </c>
      <c r="O24" s="122">
        <v>0.25</v>
      </c>
      <c r="P24" s="125">
        <f t="shared" si="4"/>
        <v>154.95867768595042</v>
      </c>
      <c r="Q24" s="124">
        <f>0.5*P24</f>
        <v>77.47933884297521</v>
      </c>
      <c r="R24" s="126">
        <f t="shared" si="6"/>
        <v>232.43801652892563</v>
      </c>
      <c r="S24" s="126">
        <f t="shared" si="7"/>
        <v>302.32601652892561</v>
      </c>
    </row>
    <row r="25" spans="1:19" s="127" customFormat="1" ht="12.95" customHeight="1">
      <c r="A25" s="512">
        <v>7</v>
      </c>
      <c r="B25" s="123" t="s">
        <v>253</v>
      </c>
      <c r="C25" s="128">
        <v>200</v>
      </c>
      <c r="D25" s="128">
        <v>217000</v>
      </c>
      <c r="E25" s="128">
        <f t="shared" si="5"/>
        <v>1302000</v>
      </c>
      <c r="F25" s="128">
        <f>0.65*E25</f>
        <v>846300</v>
      </c>
      <c r="G25" s="128">
        <v>10000</v>
      </c>
      <c r="H25" s="128">
        <v>2000</v>
      </c>
      <c r="I25" s="124">
        <f t="shared" si="0"/>
        <v>45.57</v>
      </c>
      <c r="J25" s="124">
        <f t="shared" si="1"/>
        <v>0</v>
      </c>
      <c r="K25" s="124">
        <f t="shared" si="2"/>
        <v>45.57</v>
      </c>
      <c r="L25" s="124">
        <f t="shared" si="3"/>
        <v>27.341999999999999</v>
      </c>
      <c r="M25" s="123" t="s">
        <v>247</v>
      </c>
      <c r="N25" s="125">
        <f>N24</f>
        <v>4.9586776859504136</v>
      </c>
      <c r="O25" s="122">
        <f>O24</f>
        <v>0.25</v>
      </c>
      <c r="P25" s="125">
        <f t="shared" si="4"/>
        <v>247.93388429752068</v>
      </c>
      <c r="Q25" s="124">
        <f>0.5*P25</f>
        <v>123.96694214876034</v>
      </c>
      <c r="R25" s="126">
        <f t="shared" si="6"/>
        <v>371.90082644628103</v>
      </c>
      <c r="S25" s="126">
        <f t="shared" si="7"/>
        <v>444.81282644628106</v>
      </c>
    </row>
    <row r="26" spans="1:19" s="132" customFormat="1" ht="12.95" customHeight="1">
      <c r="A26" s="512">
        <v>8</v>
      </c>
      <c r="B26" s="123" t="s">
        <v>254</v>
      </c>
      <c r="C26" s="128">
        <v>85</v>
      </c>
      <c r="D26" s="128">
        <v>22400</v>
      </c>
      <c r="E26" s="128">
        <f t="shared" si="5"/>
        <v>134400</v>
      </c>
      <c r="F26" s="128">
        <f>0.5*E26</f>
        <v>67200</v>
      </c>
      <c r="G26" s="128">
        <v>10000</v>
      </c>
      <c r="H26" s="128">
        <v>2000</v>
      </c>
      <c r="I26" s="124">
        <f t="shared" si="0"/>
        <v>6.72</v>
      </c>
      <c r="J26" s="124">
        <f t="shared" si="1"/>
        <v>0</v>
      </c>
      <c r="K26" s="124">
        <f t="shared" si="2"/>
        <v>6.72</v>
      </c>
      <c r="L26" s="124">
        <f t="shared" si="3"/>
        <v>4.032</v>
      </c>
      <c r="M26" s="123" t="s">
        <v>247</v>
      </c>
      <c r="N26" s="125">
        <f>N25</f>
        <v>4.9586776859504136</v>
      </c>
      <c r="O26" s="122">
        <f>O20</f>
        <v>0.125</v>
      </c>
      <c r="P26" s="125">
        <f t="shared" si="4"/>
        <v>52.685950413223146</v>
      </c>
      <c r="Q26" s="124">
        <f t="shared" ref="Q26:Q31" si="8">0.35*P26</f>
        <v>18.440082644628099</v>
      </c>
      <c r="R26" s="126">
        <f t="shared" si="6"/>
        <v>71.126033057851245</v>
      </c>
      <c r="S26" s="126">
        <f t="shared" si="7"/>
        <v>81.878033057851241</v>
      </c>
    </row>
    <row r="27" spans="1:19" s="132" customFormat="1" ht="12.95" customHeight="1">
      <c r="A27" s="512">
        <v>9</v>
      </c>
      <c r="B27" s="123" t="s">
        <v>255</v>
      </c>
      <c r="C27" s="128">
        <v>100</v>
      </c>
      <c r="D27" s="128">
        <v>34740</v>
      </c>
      <c r="E27" s="128">
        <f t="shared" si="5"/>
        <v>208440</v>
      </c>
      <c r="F27" s="128">
        <f>0.85*E27</f>
        <v>177174</v>
      </c>
      <c r="G27" s="128">
        <v>14000</v>
      </c>
      <c r="H27" s="128">
        <v>2000</v>
      </c>
      <c r="I27" s="124">
        <f t="shared" si="0"/>
        <v>2.2332857142857141</v>
      </c>
      <c r="J27" s="124">
        <f t="shared" si="1"/>
        <v>0</v>
      </c>
      <c r="K27" s="124">
        <f t="shared" si="2"/>
        <v>2.2332857142857141</v>
      </c>
      <c r="L27" s="124">
        <f t="shared" si="3"/>
        <v>1.3399714285714284</v>
      </c>
      <c r="M27" s="123" t="s">
        <v>247</v>
      </c>
      <c r="N27" s="125">
        <f>N26</f>
        <v>4.9586776859504136</v>
      </c>
      <c r="O27" s="122">
        <f>O26</f>
        <v>0.125</v>
      </c>
      <c r="P27" s="125">
        <f t="shared" si="4"/>
        <v>61.983471074380169</v>
      </c>
      <c r="Q27" s="124">
        <f t="shared" si="8"/>
        <v>21.694214876033058</v>
      </c>
      <c r="R27" s="126">
        <f t="shared" si="6"/>
        <v>83.677685950413235</v>
      </c>
      <c r="S27" s="126">
        <f t="shared" si="7"/>
        <v>87.250943093270379</v>
      </c>
    </row>
    <row r="28" spans="1:19" s="132" customFormat="1" ht="12.95" customHeight="1">
      <c r="A28" s="512">
        <v>10</v>
      </c>
      <c r="B28" s="123" t="s">
        <v>256</v>
      </c>
      <c r="C28" s="128"/>
      <c r="D28" s="128">
        <v>9500</v>
      </c>
      <c r="E28" s="128">
        <f t="shared" si="5"/>
        <v>57000</v>
      </c>
      <c r="F28" s="128">
        <f t="shared" ref="F28:F36" si="9">0.65*E28</f>
        <v>37050</v>
      </c>
      <c r="G28" s="128">
        <v>8000</v>
      </c>
      <c r="H28" s="128">
        <v>2000</v>
      </c>
      <c r="I28" s="124">
        <f t="shared" si="0"/>
        <v>2.4937499999999999</v>
      </c>
      <c r="J28" s="124">
        <f t="shared" si="1"/>
        <v>0</v>
      </c>
      <c r="K28" s="124">
        <f t="shared" si="2"/>
        <v>2.4937499999999999</v>
      </c>
      <c r="L28" s="124">
        <f t="shared" si="3"/>
        <v>1.4962499999999999</v>
      </c>
      <c r="M28" s="123" t="s">
        <v>196</v>
      </c>
      <c r="N28" s="125"/>
      <c r="O28" s="122"/>
      <c r="P28" s="125">
        <f t="shared" si="4"/>
        <v>0</v>
      </c>
      <c r="Q28" s="124">
        <f t="shared" si="8"/>
        <v>0</v>
      </c>
      <c r="R28" s="126">
        <f t="shared" si="6"/>
        <v>0</v>
      </c>
      <c r="S28" s="126">
        <f t="shared" si="7"/>
        <v>3.9899999999999998</v>
      </c>
    </row>
    <row r="29" spans="1:19" s="132" customFormat="1" ht="12.95" customHeight="1">
      <c r="A29" s="512">
        <v>11</v>
      </c>
      <c r="B29" s="123" t="s">
        <v>257</v>
      </c>
      <c r="C29" s="128">
        <v>145</v>
      </c>
      <c r="D29" s="128">
        <v>75000</v>
      </c>
      <c r="E29" s="128">
        <f t="shared" si="5"/>
        <v>450000</v>
      </c>
      <c r="F29" s="128">
        <f t="shared" si="9"/>
        <v>292500</v>
      </c>
      <c r="G29" s="128">
        <v>10000</v>
      </c>
      <c r="H29" s="128">
        <v>2000</v>
      </c>
      <c r="I29" s="124">
        <f t="shared" si="0"/>
        <v>15.75</v>
      </c>
      <c r="J29" s="124">
        <f t="shared" si="1"/>
        <v>0</v>
      </c>
      <c r="K29" s="124">
        <f t="shared" si="2"/>
        <v>15.75</v>
      </c>
      <c r="L29" s="124">
        <f t="shared" si="3"/>
        <v>9.4499999999999993</v>
      </c>
      <c r="M29" s="123" t="s">
        <v>247</v>
      </c>
      <c r="N29" s="125">
        <f>N19</f>
        <v>4.9586776859504136</v>
      </c>
      <c r="O29" s="122">
        <f>O27</f>
        <v>0.125</v>
      </c>
      <c r="P29" s="125">
        <f t="shared" si="4"/>
        <v>89.876033057851245</v>
      </c>
      <c r="Q29" s="124">
        <f t="shared" si="8"/>
        <v>31.456611570247933</v>
      </c>
      <c r="R29" s="126">
        <f t="shared" si="6"/>
        <v>121.33264462809917</v>
      </c>
      <c r="S29" s="126">
        <f t="shared" si="7"/>
        <v>146.53264462809918</v>
      </c>
    </row>
    <row r="30" spans="1:19" s="132" customFormat="1" ht="12.95" customHeight="1">
      <c r="A30" s="512">
        <v>12</v>
      </c>
      <c r="B30" s="123" t="s">
        <v>258</v>
      </c>
      <c r="C30" s="128">
        <v>140</v>
      </c>
      <c r="D30" s="128">
        <v>22000</v>
      </c>
      <c r="E30" s="128">
        <f t="shared" si="5"/>
        <v>132000</v>
      </c>
      <c r="F30" s="128">
        <f t="shared" si="9"/>
        <v>85800</v>
      </c>
      <c r="G30" s="128">
        <v>14000</v>
      </c>
      <c r="H30" s="128">
        <v>2000</v>
      </c>
      <c r="I30" s="124">
        <f t="shared" si="0"/>
        <v>3.3</v>
      </c>
      <c r="J30" s="124">
        <f t="shared" si="1"/>
        <v>0</v>
      </c>
      <c r="K30" s="124">
        <f t="shared" si="2"/>
        <v>3.3</v>
      </c>
      <c r="L30" s="124">
        <f t="shared" si="3"/>
        <v>1.9799999999999998</v>
      </c>
      <c r="M30" s="123" t="s">
        <v>247</v>
      </c>
      <c r="N30" s="125">
        <f>N29</f>
        <v>4.9586776859504136</v>
      </c>
      <c r="O30" s="122">
        <f>O29</f>
        <v>0.125</v>
      </c>
      <c r="P30" s="125">
        <f t="shared" si="4"/>
        <v>86.776859504132233</v>
      </c>
      <c r="Q30" s="124">
        <f t="shared" si="8"/>
        <v>30.371900826446279</v>
      </c>
      <c r="R30" s="126">
        <f t="shared" si="6"/>
        <v>117.14876033057851</v>
      </c>
      <c r="S30" s="126">
        <f t="shared" si="7"/>
        <v>122.42876033057851</v>
      </c>
    </row>
    <row r="31" spans="1:19" s="132" customFormat="1" ht="12.95" customHeight="1">
      <c r="A31" s="512">
        <v>13</v>
      </c>
      <c r="B31" s="123" t="s">
        <v>259</v>
      </c>
      <c r="C31" s="128"/>
      <c r="D31" s="128">
        <v>7500</v>
      </c>
      <c r="E31" s="128">
        <f t="shared" si="5"/>
        <v>45000</v>
      </c>
      <c r="F31" s="128">
        <f t="shared" si="9"/>
        <v>29250</v>
      </c>
      <c r="G31" s="128">
        <v>16000</v>
      </c>
      <c r="H31" s="128">
        <v>2000</v>
      </c>
      <c r="I31" s="124">
        <f t="shared" si="0"/>
        <v>0.984375</v>
      </c>
      <c r="J31" s="124">
        <f t="shared" si="1"/>
        <v>0</v>
      </c>
      <c r="K31" s="124">
        <f t="shared" si="2"/>
        <v>0.984375</v>
      </c>
      <c r="L31" s="124">
        <f t="shared" si="3"/>
        <v>0.59062499999999996</v>
      </c>
      <c r="M31" s="123" t="s">
        <v>196</v>
      </c>
      <c r="N31" s="125"/>
      <c r="O31" s="122"/>
      <c r="P31" s="125">
        <f t="shared" si="4"/>
        <v>0</v>
      </c>
      <c r="Q31" s="124">
        <f t="shared" si="8"/>
        <v>0</v>
      </c>
      <c r="R31" s="126">
        <f t="shared" si="6"/>
        <v>0</v>
      </c>
      <c r="S31" s="126">
        <f t="shared" si="7"/>
        <v>1.575</v>
      </c>
    </row>
    <row r="32" spans="1:19" s="132" customFormat="1" ht="12.95" customHeight="1">
      <c r="A32" s="512">
        <v>14</v>
      </c>
      <c r="B32" s="128" t="s">
        <v>260</v>
      </c>
      <c r="C32" s="128">
        <v>5</v>
      </c>
      <c r="D32" s="128">
        <v>1250</v>
      </c>
      <c r="E32" s="128">
        <f t="shared" si="5"/>
        <v>7500</v>
      </c>
      <c r="F32" s="128">
        <f t="shared" si="9"/>
        <v>4875</v>
      </c>
      <c r="G32" s="128">
        <v>11000</v>
      </c>
      <c r="H32" s="128">
        <v>2000</v>
      </c>
      <c r="I32" s="124">
        <f t="shared" si="0"/>
        <v>0.23863636363636365</v>
      </c>
      <c r="J32" s="124">
        <f t="shared" si="1"/>
        <v>0</v>
      </c>
      <c r="K32" s="124">
        <f t="shared" si="2"/>
        <v>0.23863636363636365</v>
      </c>
      <c r="L32" s="124">
        <f t="shared" si="3"/>
        <v>0.14318181818181819</v>
      </c>
      <c r="M32" s="123" t="s">
        <v>261</v>
      </c>
      <c r="N32" s="125">
        <f>6.5/1.21</f>
        <v>5.3719008264462813</v>
      </c>
      <c r="O32" s="122">
        <v>0.23</v>
      </c>
      <c r="P32" s="125">
        <f t="shared" si="4"/>
        <v>6.177685950413224</v>
      </c>
      <c r="Q32" s="124">
        <f>0.25*P32</f>
        <v>1.544421487603306</v>
      </c>
      <c r="R32" s="126">
        <f t="shared" si="6"/>
        <v>7.72210743801653</v>
      </c>
      <c r="S32" s="126">
        <f t="shared" si="7"/>
        <v>8.1039256198347118</v>
      </c>
    </row>
    <row r="33" spans="1:23" s="132" customFormat="1" ht="12.95" customHeight="1">
      <c r="A33" s="512">
        <v>15</v>
      </c>
      <c r="B33" s="128" t="s">
        <v>262</v>
      </c>
      <c r="C33" s="128"/>
      <c r="D33" s="128">
        <v>2400</v>
      </c>
      <c r="E33" s="128">
        <f t="shared" si="5"/>
        <v>14400</v>
      </c>
      <c r="F33" s="128">
        <f t="shared" si="9"/>
        <v>9360</v>
      </c>
      <c r="G33" s="128">
        <v>14000</v>
      </c>
      <c r="H33" s="128">
        <v>2000</v>
      </c>
      <c r="I33" s="124">
        <f t="shared" si="0"/>
        <v>0.36</v>
      </c>
      <c r="J33" s="124">
        <f t="shared" si="1"/>
        <v>0</v>
      </c>
      <c r="K33" s="124">
        <f t="shared" si="2"/>
        <v>0.36</v>
      </c>
      <c r="L33" s="124">
        <f t="shared" si="3"/>
        <v>0.216</v>
      </c>
      <c r="M33" s="123" t="s">
        <v>196</v>
      </c>
      <c r="N33" s="125"/>
      <c r="O33" s="122"/>
      <c r="P33" s="125">
        <f t="shared" si="4"/>
        <v>0</v>
      </c>
      <c r="Q33" s="124">
        <f>0.35*P33</f>
        <v>0</v>
      </c>
      <c r="R33" s="126">
        <f t="shared" si="6"/>
        <v>0</v>
      </c>
      <c r="S33" s="126">
        <f t="shared" si="7"/>
        <v>0.57599999999999996</v>
      </c>
    </row>
    <row r="34" spans="1:23" s="132" customFormat="1" ht="12.95" customHeight="1">
      <c r="A34" s="512">
        <v>16</v>
      </c>
      <c r="B34" s="128" t="s">
        <v>263</v>
      </c>
      <c r="C34" s="128">
        <v>5</v>
      </c>
      <c r="D34" s="128">
        <v>1450</v>
      </c>
      <c r="E34" s="128">
        <f t="shared" si="5"/>
        <v>8700</v>
      </c>
      <c r="F34" s="128">
        <f>0.1*E34</f>
        <v>870</v>
      </c>
      <c r="G34" s="128">
        <v>12000</v>
      </c>
      <c r="H34" s="128">
        <v>2000</v>
      </c>
      <c r="I34" s="124">
        <f t="shared" si="0"/>
        <v>0.65249999999999997</v>
      </c>
      <c r="J34" s="124">
        <f t="shared" si="1"/>
        <v>0</v>
      </c>
      <c r="K34" s="124">
        <f t="shared" si="2"/>
        <v>0.65249999999999997</v>
      </c>
      <c r="L34" s="124">
        <f t="shared" si="3"/>
        <v>0.39149999999999996</v>
      </c>
      <c r="M34" s="123" t="s">
        <v>261</v>
      </c>
      <c r="N34" s="125">
        <f>N32</f>
        <v>5.3719008264462813</v>
      </c>
      <c r="O34" s="124">
        <f>O32</f>
        <v>0.23</v>
      </c>
      <c r="P34" s="125">
        <f t="shared" si="4"/>
        <v>6.177685950413224</v>
      </c>
      <c r="Q34" s="124">
        <f>0.25*P34</f>
        <v>1.544421487603306</v>
      </c>
      <c r="R34" s="126">
        <f t="shared" si="6"/>
        <v>7.72210743801653</v>
      </c>
      <c r="S34" s="126">
        <f t="shared" si="7"/>
        <v>8.7661074380165296</v>
      </c>
    </row>
    <row r="35" spans="1:23" s="132" customFormat="1" ht="12.95" customHeight="1">
      <c r="A35" s="512">
        <v>17</v>
      </c>
      <c r="B35" s="123" t="s">
        <v>264</v>
      </c>
      <c r="C35" s="128">
        <v>145</v>
      </c>
      <c r="D35" s="128">
        <f>75000+25000</f>
        <v>100000</v>
      </c>
      <c r="E35" s="128">
        <f t="shared" si="5"/>
        <v>600000</v>
      </c>
      <c r="F35" s="128">
        <f>0.25*E35</f>
        <v>150000</v>
      </c>
      <c r="G35" s="128">
        <v>10000</v>
      </c>
      <c r="H35" s="128">
        <v>2000</v>
      </c>
      <c r="I35" s="124">
        <f t="shared" si="0"/>
        <v>45</v>
      </c>
      <c r="J35" s="124">
        <f t="shared" si="1"/>
        <v>0</v>
      </c>
      <c r="K35" s="124">
        <f t="shared" si="2"/>
        <v>45</v>
      </c>
      <c r="L35" s="124">
        <f t="shared" si="3"/>
        <v>27</v>
      </c>
      <c r="M35" s="123" t="s">
        <v>247</v>
      </c>
      <c r="N35" s="125">
        <f>N27</f>
        <v>4.9586776859504136</v>
      </c>
      <c r="O35" s="122">
        <f>O29</f>
        <v>0.125</v>
      </c>
      <c r="P35" s="125">
        <f t="shared" si="4"/>
        <v>89.876033057851245</v>
      </c>
      <c r="Q35" s="124">
        <f t="shared" ref="Q35:Q43" si="10">0.35*P35</f>
        <v>31.456611570247933</v>
      </c>
      <c r="R35" s="126">
        <f t="shared" si="6"/>
        <v>121.33264462809917</v>
      </c>
      <c r="S35" s="126">
        <f t="shared" si="7"/>
        <v>193.33264462809916</v>
      </c>
    </row>
    <row r="36" spans="1:23" s="132" customFormat="1" ht="12.95" customHeight="1">
      <c r="A36" s="512">
        <v>18</v>
      </c>
      <c r="B36" s="123" t="s">
        <v>265</v>
      </c>
      <c r="C36" s="128">
        <v>1.5</v>
      </c>
      <c r="D36" s="128">
        <v>3000</v>
      </c>
      <c r="E36" s="128">
        <f t="shared" si="5"/>
        <v>18000</v>
      </c>
      <c r="F36" s="128">
        <f t="shared" si="9"/>
        <v>11700</v>
      </c>
      <c r="G36" s="128">
        <v>10000</v>
      </c>
      <c r="H36" s="128">
        <v>2000</v>
      </c>
      <c r="I36" s="124">
        <f t="shared" si="0"/>
        <v>0.63</v>
      </c>
      <c r="J36" s="124">
        <f t="shared" si="1"/>
        <v>0</v>
      </c>
      <c r="K36" s="124">
        <f t="shared" si="2"/>
        <v>0.63</v>
      </c>
      <c r="L36" s="124">
        <f t="shared" si="3"/>
        <v>0.378</v>
      </c>
      <c r="M36" s="123" t="s">
        <v>247</v>
      </c>
      <c r="N36" s="125">
        <f>N19</f>
        <v>4.9586776859504136</v>
      </c>
      <c r="O36" s="122">
        <v>0.25</v>
      </c>
      <c r="P36" s="125">
        <f t="shared" si="4"/>
        <v>1.8595041322314052</v>
      </c>
      <c r="Q36" s="124">
        <f t="shared" si="10"/>
        <v>0.65082644628099173</v>
      </c>
      <c r="R36" s="126">
        <f t="shared" si="6"/>
        <v>2.5103305785123968</v>
      </c>
      <c r="S36" s="126">
        <f t="shared" si="7"/>
        <v>3.5183305785123968</v>
      </c>
    </row>
    <row r="37" spans="1:23" s="132" customFormat="1" ht="12.95" customHeight="1">
      <c r="A37" s="512">
        <v>19</v>
      </c>
      <c r="B37" s="128" t="s">
        <v>266</v>
      </c>
      <c r="C37" s="128"/>
      <c r="D37" s="128">
        <v>12000</v>
      </c>
      <c r="E37" s="128">
        <f t="shared" si="5"/>
        <v>72000</v>
      </c>
      <c r="F37" s="128">
        <f>0.85*E37</f>
        <v>61200</v>
      </c>
      <c r="G37" s="128">
        <v>6000</v>
      </c>
      <c r="H37" s="128">
        <v>2000</v>
      </c>
      <c r="I37" s="124">
        <f t="shared" si="0"/>
        <v>1.8</v>
      </c>
      <c r="J37" s="124">
        <f t="shared" si="1"/>
        <v>0</v>
      </c>
      <c r="K37" s="124">
        <f t="shared" si="2"/>
        <v>1.8</v>
      </c>
      <c r="L37" s="124">
        <f t="shared" si="3"/>
        <v>1.08</v>
      </c>
      <c r="M37" s="123" t="s">
        <v>247</v>
      </c>
      <c r="N37" s="125">
        <f>N29</f>
        <v>4.9586776859504136</v>
      </c>
      <c r="O37" s="122">
        <v>0.1</v>
      </c>
      <c r="P37" s="125">
        <f t="shared" si="4"/>
        <v>0</v>
      </c>
      <c r="Q37" s="124">
        <f t="shared" si="10"/>
        <v>0</v>
      </c>
      <c r="R37" s="126">
        <f t="shared" si="6"/>
        <v>0</v>
      </c>
      <c r="S37" s="126">
        <f t="shared" si="7"/>
        <v>2.88</v>
      </c>
    </row>
    <row r="38" spans="1:23" s="132" customFormat="1" ht="12.95" customHeight="1">
      <c r="A38" s="512">
        <v>20</v>
      </c>
      <c r="B38" s="128" t="s">
        <v>267</v>
      </c>
      <c r="C38" s="128">
        <v>102</v>
      </c>
      <c r="D38" s="128">
        <v>23541</v>
      </c>
      <c r="E38" s="128">
        <f t="shared" si="5"/>
        <v>141246</v>
      </c>
      <c r="F38" s="128">
        <f>0.85*E38</f>
        <v>120059.09999999999</v>
      </c>
      <c r="G38" s="128">
        <v>14000</v>
      </c>
      <c r="H38" s="128">
        <v>2000</v>
      </c>
      <c r="I38" s="124">
        <f t="shared" si="0"/>
        <v>1.5133500000000006</v>
      </c>
      <c r="J38" s="124">
        <f t="shared" si="1"/>
        <v>0</v>
      </c>
      <c r="K38" s="124">
        <f t="shared" si="2"/>
        <v>1.5133500000000006</v>
      </c>
      <c r="L38" s="124">
        <f t="shared" si="3"/>
        <v>0.90801000000000032</v>
      </c>
      <c r="M38" s="123" t="s">
        <v>247</v>
      </c>
      <c r="N38" s="125">
        <f>N30</f>
        <v>4.9586776859504136</v>
      </c>
      <c r="O38" s="122">
        <v>0.1</v>
      </c>
      <c r="P38" s="125">
        <f t="shared" si="4"/>
        <v>50.578512396694222</v>
      </c>
      <c r="Q38" s="124">
        <f t="shared" si="10"/>
        <v>17.702479338842977</v>
      </c>
      <c r="R38" s="126">
        <f t="shared" si="6"/>
        <v>68.280991735537199</v>
      </c>
      <c r="S38" s="126">
        <f t="shared" si="7"/>
        <v>70.702351735537206</v>
      </c>
    </row>
    <row r="39" spans="1:23" s="132" customFormat="1" ht="12.95" customHeight="1">
      <c r="A39" s="512">
        <v>21</v>
      </c>
      <c r="B39" s="128" t="s">
        <v>268</v>
      </c>
      <c r="C39" s="128">
        <v>100</v>
      </c>
      <c r="D39" s="128">
        <v>48000</v>
      </c>
      <c r="E39" s="128">
        <f t="shared" si="5"/>
        <v>288000</v>
      </c>
      <c r="F39" s="128">
        <f>0.25*E39</f>
        <v>72000</v>
      </c>
      <c r="G39" s="128">
        <v>10000</v>
      </c>
      <c r="H39" s="128">
        <v>960</v>
      </c>
      <c r="I39" s="124">
        <f t="shared" si="0"/>
        <v>21.6</v>
      </c>
      <c r="J39" s="124">
        <f t="shared" si="1"/>
        <v>0</v>
      </c>
      <c r="K39" s="124">
        <f t="shared" si="2"/>
        <v>21.6</v>
      </c>
      <c r="L39" s="124">
        <f t="shared" si="3"/>
        <v>12.96</v>
      </c>
      <c r="M39" s="123" t="s">
        <v>247</v>
      </c>
      <c r="N39" s="125">
        <f>N31</f>
        <v>0</v>
      </c>
      <c r="O39" s="122">
        <v>0.1</v>
      </c>
      <c r="P39" s="125">
        <f t="shared" si="4"/>
        <v>0</v>
      </c>
      <c r="Q39" s="124">
        <f t="shared" si="10"/>
        <v>0</v>
      </c>
      <c r="R39" s="126">
        <f t="shared" si="6"/>
        <v>0</v>
      </c>
      <c r="S39" s="126">
        <f t="shared" si="7"/>
        <v>34.56</v>
      </c>
    </row>
    <row r="40" spans="1:23" s="132" customFormat="1" ht="12.95" customHeight="1">
      <c r="A40" s="512">
        <v>22</v>
      </c>
      <c r="B40" s="128" t="s">
        <v>269</v>
      </c>
      <c r="C40" s="128">
        <v>220</v>
      </c>
      <c r="D40" s="128">
        <v>150000</v>
      </c>
      <c r="E40" s="128">
        <f t="shared" si="5"/>
        <v>900000</v>
      </c>
      <c r="F40" s="128">
        <f>0.1*E40</f>
        <v>90000</v>
      </c>
      <c r="G40" s="128">
        <v>10000</v>
      </c>
      <c r="H40" s="128">
        <v>2000</v>
      </c>
      <c r="I40" s="124">
        <f t="shared" si="0"/>
        <v>81</v>
      </c>
      <c r="J40" s="124">
        <f t="shared" si="1"/>
        <v>0</v>
      </c>
      <c r="K40" s="124">
        <f t="shared" si="2"/>
        <v>81</v>
      </c>
      <c r="L40" s="124">
        <f t="shared" si="3"/>
        <v>48.6</v>
      </c>
      <c r="M40" s="123" t="s">
        <v>247</v>
      </c>
      <c r="N40" s="125">
        <f>N38</f>
        <v>4.9586776859504136</v>
      </c>
      <c r="O40" s="122">
        <v>0.1</v>
      </c>
      <c r="P40" s="125">
        <f t="shared" si="4"/>
        <v>109.09090909090911</v>
      </c>
      <c r="Q40" s="124">
        <f t="shared" si="10"/>
        <v>38.181818181818187</v>
      </c>
      <c r="R40" s="126">
        <f t="shared" si="6"/>
        <v>147.27272727272731</v>
      </c>
      <c r="S40" s="126">
        <f t="shared" si="7"/>
        <v>276.87272727272727</v>
      </c>
    </row>
    <row r="41" spans="1:23" s="132" customFormat="1" ht="12.95" customHeight="1">
      <c r="A41" s="512">
        <v>23</v>
      </c>
      <c r="B41" s="128" t="s">
        <v>270</v>
      </c>
      <c r="C41" s="128"/>
      <c r="D41" s="128">
        <v>9000</v>
      </c>
      <c r="E41" s="128">
        <f t="shared" si="5"/>
        <v>54000</v>
      </c>
      <c r="F41" s="128">
        <f>0.5*E41</f>
        <v>27000</v>
      </c>
      <c r="G41" s="128">
        <v>10000</v>
      </c>
      <c r="H41" s="128">
        <v>2000</v>
      </c>
      <c r="I41" s="124">
        <f t="shared" si="0"/>
        <v>2.7</v>
      </c>
      <c r="J41" s="124">
        <f t="shared" si="1"/>
        <v>0</v>
      </c>
      <c r="K41" s="124">
        <f t="shared" si="2"/>
        <v>2.7</v>
      </c>
      <c r="L41" s="124">
        <f t="shared" si="3"/>
        <v>1.62</v>
      </c>
      <c r="M41" s="123" t="s">
        <v>196</v>
      </c>
      <c r="N41" s="125"/>
      <c r="O41" s="122"/>
      <c r="P41" s="125">
        <f t="shared" si="4"/>
        <v>0</v>
      </c>
      <c r="Q41" s="124">
        <f t="shared" si="10"/>
        <v>0</v>
      </c>
      <c r="R41" s="126">
        <f t="shared" si="6"/>
        <v>0</v>
      </c>
      <c r="S41" s="126">
        <f t="shared" si="7"/>
        <v>4.32</v>
      </c>
    </row>
    <row r="42" spans="1:23" s="132" customFormat="1" ht="12.95" customHeight="1">
      <c r="A42" s="512">
        <v>24</v>
      </c>
      <c r="B42" s="128" t="s">
        <v>271</v>
      </c>
      <c r="C42" s="128"/>
      <c r="D42" s="128">
        <v>12000</v>
      </c>
      <c r="E42" s="128">
        <f t="shared" si="5"/>
        <v>72000</v>
      </c>
      <c r="F42" s="128">
        <f>0.5*E42</f>
        <v>36000</v>
      </c>
      <c r="G42" s="128">
        <v>5000</v>
      </c>
      <c r="H42" s="128">
        <v>2000</v>
      </c>
      <c r="I42" s="124">
        <f t="shared" si="0"/>
        <v>7.2</v>
      </c>
      <c r="J42" s="124">
        <f t="shared" si="1"/>
        <v>0</v>
      </c>
      <c r="K42" s="124">
        <f t="shared" si="2"/>
        <v>7.2</v>
      </c>
      <c r="L42" s="124">
        <f t="shared" si="3"/>
        <v>4.32</v>
      </c>
      <c r="M42" s="123" t="s">
        <v>196</v>
      </c>
      <c r="N42" s="125"/>
      <c r="O42" s="122"/>
      <c r="P42" s="125">
        <f t="shared" si="4"/>
        <v>0</v>
      </c>
      <c r="Q42" s="124">
        <f t="shared" si="10"/>
        <v>0</v>
      </c>
      <c r="R42" s="126">
        <f t="shared" si="6"/>
        <v>0</v>
      </c>
      <c r="S42" s="126">
        <f t="shared" si="7"/>
        <v>11.52</v>
      </c>
    </row>
    <row r="43" spans="1:23" s="132" customFormat="1" ht="12.95" customHeight="1">
      <c r="A43" s="512">
        <v>25</v>
      </c>
      <c r="B43" s="128" t="s">
        <v>272</v>
      </c>
      <c r="C43" s="128"/>
      <c r="D43" s="128">
        <v>18500</v>
      </c>
      <c r="E43" s="128">
        <f t="shared" si="5"/>
        <v>111000</v>
      </c>
      <c r="F43" s="128">
        <f>0.85*E43</f>
        <v>94350</v>
      </c>
      <c r="G43" s="128">
        <v>10000</v>
      </c>
      <c r="H43" s="128">
        <v>2000</v>
      </c>
      <c r="I43" s="124">
        <f t="shared" si="0"/>
        <v>1.665</v>
      </c>
      <c r="J43" s="124">
        <f t="shared" si="1"/>
        <v>0</v>
      </c>
      <c r="K43" s="124">
        <f t="shared" si="2"/>
        <v>1.665</v>
      </c>
      <c r="L43" s="124">
        <f t="shared" si="3"/>
        <v>0.999</v>
      </c>
      <c r="M43" s="123" t="s">
        <v>247</v>
      </c>
      <c r="N43" s="125">
        <f>N33</f>
        <v>0</v>
      </c>
      <c r="O43" s="122">
        <v>0.1</v>
      </c>
      <c r="P43" s="125">
        <f t="shared" si="4"/>
        <v>0</v>
      </c>
      <c r="Q43" s="124">
        <f t="shared" si="10"/>
        <v>0</v>
      </c>
      <c r="R43" s="126">
        <f t="shared" si="6"/>
        <v>0</v>
      </c>
      <c r="S43" s="126">
        <f t="shared" si="7"/>
        <v>2.6640000000000001</v>
      </c>
    </row>
    <row r="44" spans="1:23" s="132" customFormat="1" ht="12.95" customHeight="1">
      <c r="A44" s="513"/>
      <c r="B44" s="134"/>
      <c r="C44" s="134"/>
      <c r="D44" s="134"/>
      <c r="E44" s="134"/>
      <c r="F44" s="134"/>
      <c r="G44" s="134"/>
      <c r="H44" s="134"/>
      <c r="I44" s="136"/>
      <c r="J44" s="136"/>
      <c r="K44" s="136"/>
      <c r="L44" s="136"/>
      <c r="M44" s="135"/>
      <c r="N44" s="137"/>
      <c r="O44" s="133"/>
      <c r="P44" s="137"/>
      <c r="Q44" s="136"/>
      <c r="R44" s="138"/>
      <c r="S44" s="138"/>
    </row>
    <row r="45" spans="1:23" s="132" customFormat="1" ht="12.95" customHeight="1">
      <c r="A45" s="513"/>
      <c r="B45" s="134"/>
      <c r="C45" s="134"/>
      <c r="D45" s="134"/>
      <c r="E45" s="134"/>
      <c r="F45" s="134"/>
      <c r="G45" s="134"/>
      <c r="H45" s="134"/>
      <c r="I45" s="136"/>
      <c r="J45" s="136"/>
      <c r="K45" s="136"/>
      <c r="L45" s="136"/>
      <c r="M45" s="135"/>
      <c r="N45" s="137"/>
      <c r="O45" s="133"/>
      <c r="P45" s="137"/>
      <c r="Q45" s="136"/>
      <c r="R45" s="138"/>
      <c r="S45" s="138"/>
    </row>
    <row r="46" spans="1:23" s="97" customFormat="1" ht="12">
      <c r="A46" s="514"/>
      <c r="B46" s="112"/>
      <c r="C46" s="503"/>
      <c r="D46" s="503"/>
      <c r="E46" s="503"/>
      <c r="F46" s="503"/>
      <c r="G46" s="503"/>
      <c r="H46" s="523" t="str">
        <f>'[4]Coef. resumen'!$B$52</f>
        <v>Julián Antonelli</v>
      </c>
      <c r="I46" s="139"/>
      <c r="J46" s="139"/>
      <c r="K46" s="139"/>
      <c r="L46" s="139"/>
      <c r="M46" s="139"/>
      <c r="N46" s="49" t="str">
        <f>'[4]Coef. resumen'!$E$52</f>
        <v>Marcelo A. Pasquini</v>
      </c>
      <c r="O46" s="140"/>
      <c r="P46" s="112"/>
      <c r="Q46" s="140"/>
      <c r="S46" s="96"/>
      <c r="T46" s="96"/>
      <c r="U46" s="96"/>
      <c r="V46" s="96"/>
      <c r="W46" s="96"/>
    </row>
    <row r="47" spans="1:23" s="97" customFormat="1" ht="12">
      <c r="A47" s="514"/>
      <c r="B47" s="112"/>
      <c r="C47" s="503"/>
      <c r="D47" s="503"/>
      <c r="E47" s="503"/>
      <c r="F47" s="503"/>
      <c r="G47" s="503"/>
      <c r="H47" s="523" t="str">
        <f>'[4]Coef. resumen'!$B$53</f>
        <v>Ing. Civil M.P. 2161</v>
      </c>
      <c r="I47" s="139"/>
      <c r="J47" s="139"/>
      <c r="K47" s="139"/>
      <c r="L47" s="139"/>
      <c r="M47" s="139"/>
      <c r="N47" s="49" t="str">
        <f>'[4]Coef. resumen'!$E$53</f>
        <v>Socio Gerente</v>
      </c>
      <c r="O47" s="140"/>
      <c r="P47" s="112"/>
      <c r="Q47" s="140"/>
      <c r="S47" s="96"/>
      <c r="T47" s="96"/>
      <c r="U47" s="96"/>
      <c r="V47" s="96"/>
      <c r="W47" s="96"/>
    </row>
    <row r="48" spans="1:23" s="97" customFormat="1" ht="12">
      <c r="A48" s="514"/>
      <c r="B48" s="112"/>
      <c r="C48" s="503"/>
      <c r="D48" s="503"/>
      <c r="E48" s="503"/>
      <c r="F48" s="503"/>
      <c r="G48" s="503"/>
      <c r="H48" s="523" t="str">
        <f>'[4]Coef. resumen'!$B$54</f>
        <v>Representante Técnico</v>
      </c>
      <c r="I48" s="139"/>
      <c r="J48" s="139"/>
      <c r="K48" s="139"/>
      <c r="L48" s="139"/>
      <c r="M48" s="139"/>
      <c r="N48" s="49" t="str">
        <f>'[4]Coef. resumen'!$E$54</f>
        <v>Pasquini Construcciones SRL</v>
      </c>
      <c r="O48" s="140"/>
      <c r="P48" s="112"/>
      <c r="Q48" s="140"/>
      <c r="S48" s="96"/>
      <c r="T48" s="96"/>
      <c r="U48" s="96"/>
      <c r="V48" s="96"/>
      <c r="W48" s="96"/>
    </row>
  </sheetData>
  <mergeCells count="15">
    <mergeCell ref="A12:S12"/>
    <mergeCell ref="A15:A16"/>
    <mergeCell ref="B15:B16"/>
    <mergeCell ref="C15:C16"/>
    <mergeCell ref="D15:D16"/>
    <mergeCell ref="E15:E16"/>
    <mergeCell ref="F15:F16"/>
    <mergeCell ref="G15:G16"/>
    <mergeCell ref="H15:H16"/>
    <mergeCell ref="I15:K15"/>
    <mergeCell ref="L15:L16"/>
    <mergeCell ref="M15:P15"/>
    <mergeCell ref="Q15:Q16"/>
    <mergeCell ref="R15:R16"/>
    <mergeCell ref="S15:S16"/>
  </mergeCells>
  <printOptions horizontalCentered="1"/>
  <pageMargins left="0.19685039370078741" right="0.19685039370078741" top="0.59055118110236227" bottom="0.39370078740157483" header="0" footer="0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workbookViewId="0">
      <selection activeCell="G2" sqref="G2"/>
    </sheetView>
  </sheetViews>
  <sheetFormatPr baseColWidth="10" defaultRowHeight="19.7" customHeight="1"/>
  <cols>
    <col min="1" max="1" width="23.28515625" style="70" customWidth="1"/>
    <col min="2" max="6" width="12.7109375" style="70" customWidth="1"/>
    <col min="7" max="7" width="13.7109375" style="70" bestFit="1" customWidth="1"/>
    <col min="8" max="8" width="13.28515625" style="70" bestFit="1" customWidth="1"/>
    <col min="9" max="10" width="12.7109375" style="70" customWidth="1"/>
    <col min="11" max="11" width="11.42578125" style="70"/>
    <col min="12" max="12" width="11.5703125" style="70" bestFit="1" customWidth="1"/>
    <col min="13" max="16384" width="11.42578125" style="70"/>
  </cols>
  <sheetData>
    <row r="1" spans="1:11" s="34" customFormat="1" ht="14.1" customHeight="1">
      <c r="A1" s="31"/>
      <c r="B1" s="31"/>
      <c r="C1" s="31"/>
      <c r="D1" s="31"/>
      <c r="E1" s="31"/>
      <c r="F1" s="31"/>
      <c r="G1" s="31"/>
      <c r="H1" s="31"/>
      <c r="I1" s="31"/>
      <c r="J1" s="52"/>
      <c r="K1" s="51"/>
    </row>
    <row r="2" spans="1:11" s="34" customFormat="1" ht="14.1" customHeight="1">
      <c r="A2" s="31"/>
      <c r="B2" s="31"/>
      <c r="C2" s="31"/>
      <c r="D2" s="31"/>
      <c r="E2" s="31"/>
      <c r="F2" s="31"/>
      <c r="G2" s="31"/>
      <c r="H2" s="31"/>
      <c r="I2" s="31"/>
      <c r="J2" s="52"/>
      <c r="K2" s="51"/>
    </row>
    <row r="3" spans="1:11" s="34" customFormat="1" ht="14.1" customHeight="1">
      <c r="A3" s="31"/>
      <c r="B3" s="31"/>
      <c r="C3" s="31"/>
      <c r="D3" s="31"/>
      <c r="E3" s="31"/>
      <c r="F3" s="31"/>
      <c r="G3" s="31"/>
      <c r="H3" s="31"/>
      <c r="I3" s="31"/>
      <c r="J3" s="52"/>
      <c r="K3" s="51"/>
    </row>
    <row r="4" spans="1:11" s="34" customFormat="1" ht="14.1" customHeight="1">
      <c r="A4" s="31"/>
      <c r="B4" s="31"/>
      <c r="C4" s="31"/>
      <c r="D4" s="31"/>
      <c r="E4" s="31"/>
      <c r="F4" s="31"/>
      <c r="G4" s="31"/>
      <c r="H4" s="31"/>
      <c r="I4" s="31"/>
      <c r="J4" s="52"/>
      <c r="K4" s="51"/>
    </row>
    <row r="5" spans="1:11" s="34" customFormat="1" ht="14.1" customHeight="1">
      <c r="A5" s="31"/>
      <c r="B5" s="31"/>
      <c r="C5" s="31"/>
      <c r="D5" s="31"/>
      <c r="E5" s="31"/>
      <c r="F5" s="31"/>
      <c r="G5" s="31"/>
      <c r="H5" s="31"/>
      <c r="I5" s="31"/>
      <c r="J5" s="52"/>
      <c r="K5" s="51"/>
    </row>
    <row r="6" spans="1:11" s="34" customFormat="1" ht="14.1" customHeight="1">
      <c r="A6" s="31"/>
      <c r="B6" s="31"/>
      <c r="C6" s="31"/>
      <c r="D6" s="31"/>
      <c r="E6" s="31"/>
      <c r="F6" s="31"/>
      <c r="G6" s="31"/>
      <c r="H6" s="31"/>
      <c r="I6" s="31"/>
      <c r="J6" s="52"/>
      <c r="K6" s="51"/>
    </row>
    <row r="7" spans="1:11" s="34" customFormat="1" ht="9.9499999999999993" customHeight="1">
      <c r="A7" s="53"/>
      <c r="B7" s="54"/>
      <c r="C7" s="54"/>
      <c r="D7" s="54"/>
      <c r="E7" s="54"/>
      <c r="F7" s="54"/>
      <c r="G7" s="54"/>
      <c r="H7" s="54"/>
      <c r="I7" s="54"/>
      <c r="J7" s="55"/>
      <c r="K7" s="51"/>
    </row>
    <row r="8" spans="1:11" s="34" customFormat="1" ht="14.1" customHeight="1">
      <c r="A8" s="56" t="str">
        <f>'Coef. resumen'!A8</f>
        <v>LICITACIÓN PÚBLICA Nº 41/13</v>
      </c>
      <c r="B8" s="57"/>
      <c r="C8" s="57"/>
      <c r="D8" s="57"/>
      <c r="E8" s="57"/>
      <c r="F8" s="57"/>
      <c r="G8" s="57"/>
      <c r="H8" s="192" t="str">
        <f>'Coef. resumen'!E8</f>
        <v>A FECHA:</v>
      </c>
      <c r="I8" s="57" t="str">
        <f>'Coef. resumen'!F8</f>
        <v>Octubre 2013</v>
      </c>
      <c r="J8" s="58"/>
      <c r="K8" s="51"/>
    </row>
    <row r="9" spans="1:11" s="34" customFormat="1" ht="9.9499999999999993" customHeight="1">
      <c r="A9" s="59"/>
      <c r="B9" s="60"/>
      <c r="C9" s="60"/>
      <c r="D9" s="60"/>
      <c r="E9" s="61"/>
      <c r="F9" s="62"/>
      <c r="G9" s="62"/>
      <c r="H9" s="62"/>
      <c r="I9" s="62"/>
      <c r="J9" s="63"/>
      <c r="K9" s="51"/>
    </row>
    <row r="10" spans="1:11" s="34" customFormat="1" ht="14.1" customHeight="1">
      <c r="A10" s="64" t="str">
        <f>'Coef. resumen'!A10</f>
        <v>OBRA: Urbanizacion Valle Chico 1ª etapa: Obras de Infraestructura Pública y Nexos</v>
      </c>
      <c r="B10" s="65"/>
      <c r="C10" s="60"/>
      <c r="D10" s="60"/>
      <c r="E10" s="57"/>
      <c r="F10" s="62"/>
      <c r="G10" s="62"/>
      <c r="H10" s="57" t="str">
        <f>'Coef. resumen'!A12</f>
        <v>LOCALIDAD: Esquel</v>
      </c>
      <c r="I10" s="62"/>
      <c r="J10" s="66"/>
      <c r="K10" s="51"/>
    </row>
    <row r="11" spans="1:11" s="34" customFormat="1" ht="9.9499999999999993" customHeight="1">
      <c r="A11" s="67"/>
      <c r="B11" s="68"/>
      <c r="C11" s="68"/>
      <c r="D11" s="68"/>
      <c r="E11" s="68"/>
      <c r="F11" s="68"/>
      <c r="G11" s="68"/>
      <c r="H11" s="68"/>
      <c r="I11" s="68"/>
      <c r="J11" s="69"/>
      <c r="K11" s="51"/>
    </row>
    <row r="12" spans="1:11" s="34" customFormat="1" ht="14.1" customHeight="1">
      <c r="A12" s="31"/>
      <c r="B12" s="31"/>
      <c r="C12" s="31"/>
      <c r="D12" s="31"/>
      <c r="E12" s="31"/>
      <c r="F12" s="31"/>
      <c r="G12" s="31"/>
      <c r="H12" s="31"/>
      <c r="I12" s="31"/>
      <c r="J12" s="52"/>
      <c r="K12" s="51"/>
    </row>
    <row r="13" spans="1:11" ht="18" customHeight="1">
      <c r="A13" s="551" t="s">
        <v>171</v>
      </c>
      <c r="B13" s="552"/>
      <c r="C13" s="552"/>
      <c r="D13" s="552"/>
      <c r="E13" s="552"/>
      <c r="F13" s="552"/>
      <c r="G13" s="552"/>
      <c r="H13" s="552"/>
      <c r="I13" s="552"/>
      <c r="J13" s="553"/>
    </row>
    <row r="14" spans="1:11" ht="19.7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</row>
    <row r="15" spans="1:11" ht="19.7" customHeight="1">
      <c r="A15" s="571" t="s">
        <v>172</v>
      </c>
      <c r="B15" s="573" t="s">
        <v>173</v>
      </c>
      <c r="C15" s="575" t="s">
        <v>174</v>
      </c>
      <c r="D15" s="573" t="s">
        <v>175</v>
      </c>
      <c r="E15" s="573" t="s">
        <v>176</v>
      </c>
      <c r="F15" s="573" t="s">
        <v>177</v>
      </c>
      <c r="G15" s="577" t="s">
        <v>2</v>
      </c>
      <c r="H15" s="573" t="s">
        <v>178</v>
      </c>
      <c r="I15" s="573" t="s">
        <v>179</v>
      </c>
      <c r="J15" s="72" t="s">
        <v>180</v>
      </c>
    </row>
    <row r="16" spans="1:11" ht="19.7" customHeight="1">
      <c r="A16" s="572"/>
      <c r="B16" s="574"/>
      <c r="C16" s="576"/>
      <c r="D16" s="574"/>
      <c r="E16" s="574"/>
      <c r="F16" s="574"/>
      <c r="G16" s="578"/>
      <c r="H16" s="579"/>
      <c r="I16" s="579"/>
      <c r="J16" s="73" t="s">
        <v>2</v>
      </c>
    </row>
    <row r="17" spans="1:10" ht="19.7" customHeight="1">
      <c r="A17" s="74"/>
      <c r="B17" s="75"/>
      <c r="C17" s="75" t="s">
        <v>181</v>
      </c>
      <c r="D17" s="75"/>
      <c r="E17" s="76" t="s">
        <v>182</v>
      </c>
      <c r="F17" s="75" t="s">
        <v>183</v>
      </c>
      <c r="G17" s="76"/>
      <c r="H17" s="75"/>
      <c r="I17" s="75"/>
      <c r="J17" s="75"/>
    </row>
    <row r="18" spans="1:10" ht="19.7" customHeight="1">
      <c r="A18" s="77"/>
      <c r="B18" s="78" t="s">
        <v>184</v>
      </c>
      <c r="C18" s="78" t="s">
        <v>184</v>
      </c>
      <c r="D18" s="78" t="s">
        <v>184</v>
      </c>
      <c r="E18" s="79" t="s">
        <v>184</v>
      </c>
      <c r="F18" s="78" t="s">
        <v>184</v>
      </c>
      <c r="G18" s="79" t="s">
        <v>184</v>
      </c>
      <c r="H18" s="78"/>
      <c r="I18" s="78"/>
      <c r="J18" s="78" t="s">
        <v>184</v>
      </c>
    </row>
    <row r="19" spans="1:10" ht="19.7" customHeight="1">
      <c r="A19" s="80" t="s">
        <v>185</v>
      </c>
      <c r="B19" s="81" t="s">
        <v>186</v>
      </c>
      <c r="C19" s="81" t="s">
        <v>187</v>
      </c>
      <c r="D19" s="81" t="s">
        <v>188</v>
      </c>
      <c r="E19" s="82" t="s">
        <v>189</v>
      </c>
      <c r="F19" s="81" t="s">
        <v>190</v>
      </c>
      <c r="G19" s="82" t="s">
        <v>191</v>
      </c>
      <c r="H19" s="81" t="s">
        <v>192</v>
      </c>
      <c r="I19" s="81" t="s">
        <v>193</v>
      </c>
      <c r="J19" s="81" t="s">
        <v>194</v>
      </c>
    </row>
    <row r="20" spans="1:10" ht="19.7" customHeight="1">
      <c r="A20" s="53" t="s">
        <v>195</v>
      </c>
      <c r="B20" s="83">
        <v>35.85</v>
      </c>
      <c r="C20" s="84">
        <f>ROUND(B20*0.2, 2)</f>
        <v>7.17</v>
      </c>
      <c r="D20" s="84">
        <f>B20+C20</f>
        <v>43.02</v>
      </c>
      <c r="E20" s="85">
        <f>ROUND(0.8704*(D20), 2)</f>
        <v>37.44</v>
      </c>
      <c r="F20" s="86">
        <f>ROUND(0.05*D20, 2)</f>
        <v>2.15</v>
      </c>
      <c r="G20" s="86">
        <f>D20+E20+F20</f>
        <v>82.610000000000014</v>
      </c>
      <c r="H20" s="84">
        <v>0</v>
      </c>
      <c r="I20" s="84" t="s">
        <v>196</v>
      </c>
      <c r="J20" s="87">
        <f>G20+H20</f>
        <v>82.610000000000014</v>
      </c>
    </row>
    <row r="21" spans="1:10" ht="19.7" customHeight="1">
      <c r="A21" s="88" t="s">
        <v>197</v>
      </c>
      <c r="B21" s="83">
        <v>30.54</v>
      </c>
      <c r="C21" s="84">
        <f t="shared" ref="C21:C23" si="0">ROUND(B21*0.2, 2)</f>
        <v>6.11</v>
      </c>
      <c r="D21" s="84">
        <f t="shared" ref="D21:D23" si="1">B21+C21</f>
        <v>36.65</v>
      </c>
      <c r="E21" s="85">
        <f t="shared" ref="E21:E23" si="2">ROUND(0.8704*(D21), 2)</f>
        <v>31.9</v>
      </c>
      <c r="F21" s="84">
        <f t="shared" ref="F21:F23" si="3">ROUND(0.05*D21, 2)</f>
        <v>1.83</v>
      </c>
      <c r="G21" s="84">
        <f t="shared" ref="G21:G23" si="4">D21+E21+F21</f>
        <v>70.38</v>
      </c>
      <c r="H21" s="84">
        <v>0</v>
      </c>
      <c r="I21" s="84" t="s">
        <v>196</v>
      </c>
      <c r="J21" s="89">
        <f t="shared" ref="J21:J23" si="5">G21+H21</f>
        <v>70.38</v>
      </c>
    </row>
    <row r="22" spans="1:10" ht="19.7" customHeight="1">
      <c r="A22" s="88" t="s">
        <v>198</v>
      </c>
      <c r="B22" s="83">
        <v>28.11</v>
      </c>
      <c r="C22" s="84">
        <f t="shared" si="0"/>
        <v>5.62</v>
      </c>
      <c r="D22" s="84">
        <f t="shared" si="1"/>
        <v>33.729999999999997</v>
      </c>
      <c r="E22" s="85">
        <f t="shared" si="2"/>
        <v>29.36</v>
      </c>
      <c r="F22" s="84">
        <f t="shared" si="3"/>
        <v>1.69</v>
      </c>
      <c r="G22" s="84">
        <f t="shared" si="4"/>
        <v>64.78</v>
      </c>
      <c r="H22" s="84">
        <v>0</v>
      </c>
      <c r="I22" s="84" t="s">
        <v>196</v>
      </c>
      <c r="J22" s="89">
        <f t="shared" si="5"/>
        <v>64.78</v>
      </c>
    </row>
    <row r="23" spans="1:10" ht="19.7" customHeight="1">
      <c r="A23" s="67" t="s">
        <v>199</v>
      </c>
      <c r="B23" s="90">
        <v>25.95</v>
      </c>
      <c r="C23" s="91">
        <f t="shared" si="0"/>
        <v>5.19</v>
      </c>
      <c r="D23" s="91">
        <f t="shared" si="1"/>
        <v>31.14</v>
      </c>
      <c r="E23" s="92">
        <f t="shared" si="2"/>
        <v>27.1</v>
      </c>
      <c r="F23" s="91">
        <f t="shared" si="3"/>
        <v>1.56</v>
      </c>
      <c r="G23" s="91">
        <f t="shared" si="4"/>
        <v>59.800000000000004</v>
      </c>
      <c r="H23" s="91">
        <v>0</v>
      </c>
      <c r="I23" s="91" t="s">
        <v>196</v>
      </c>
      <c r="J23" s="93">
        <f t="shared" si="5"/>
        <v>59.800000000000004</v>
      </c>
    </row>
    <row r="24" spans="1:10" ht="14.1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14.1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</row>
    <row r="26" spans="1:10" ht="14.1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</row>
    <row r="27" spans="1:10" ht="14.1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14.1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14.1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14.1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14.1" customHeight="1">
      <c r="A31" s="71"/>
      <c r="B31" s="71"/>
      <c r="C31" s="49" t="str">
        <f>'[4]Coef. resumen'!$B$52</f>
        <v>Julián Antonelli</v>
      </c>
      <c r="D31" s="71"/>
      <c r="E31" s="71"/>
      <c r="F31" s="71"/>
      <c r="G31" s="49" t="str">
        <f>'[4]Coef. resumen'!$E$52</f>
        <v>Marcelo A. Pasquini</v>
      </c>
      <c r="H31" s="71"/>
      <c r="I31" s="71"/>
      <c r="J31" s="71"/>
    </row>
    <row r="32" spans="1:10" ht="14.1" customHeight="1">
      <c r="A32" s="71"/>
      <c r="B32" s="94"/>
      <c r="C32" s="49" t="str">
        <f>'[4]Coef. resumen'!$B$53</f>
        <v>Ing. Civil M.P. 2161</v>
      </c>
      <c r="D32" s="32"/>
      <c r="E32" s="31"/>
      <c r="F32" s="95"/>
      <c r="G32" s="49" t="str">
        <f>'[4]Coef. resumen'!$E$53</f>
        <v>Socio Gerente</v>
      </c>
      <c r="H32" s="71"/>
      <c r="I32" s="71"/>
      <c r="J32" s="71"/>
    </row>
    <row r="33" spans="1:10" ht="14.1" customHeight="1">
      <c r="A33" s="71"/>
      <c r="B33" s="94"/>
      <c r="C33" s="49" t="str">
        <f>'[4]Coef. resumen'!$B$54</f>
        <v>Representante Técnico</v>
      </c>
      <c r="D33" s="32"/>
      <c r="E33" s="31"/>
      <c r="F33" s="95"/>
      <c r="G33" s="49" t="str">
        <f>'[4]Coef. resumen'!$E$54</f>
        <v>Pasquini Construcciones SRL</v>
      </c>
      <c r="H33" s="71"/>
      <c r="I33" s="71"/>
      <c r="J33" s="71"/>
    </row>
    <row r="34" spans="1:10" ht="19.7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9.7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</row>
  </sheetData>
  <mergeCells count="10">
    <mergeCell ref="A13:J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</mergeCells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0"/>
  <sheetViews>
    <sheetView view="pageBreakPreview" zoomScaleSheetLayoutView="100" workbookViewId="0">
      <pane xSplit="7" ySplit="3" topLeftCell="H347" activePane="bottomRight" state="frozen"/>
      <selection activeCell="B38" sqref="B38"/>
      <selection pane="topRight" activeCell="B38" sqref="B38"/>
      <selection pane="bottomLeft" activeCell="B38" sqref="B38"/>
      <selection pane="bottomRight" activeCell="R63" sqref="R63"/>
    </sheetView>
  </sheetViews>
  <sheetFormatPr baseColWidth="10" defaultColWidth="7.42578125" defaultRowHeight="19.7" customHeight="1"/>
  <cols>
    <col min="1" max="7" width="7.42578125" style="225"/>
    <col min="8" max="8" width="15.28515625" style="225" hidden="1" customWidth="1"/>
    <col min="9" max="9" width="7.42578125" style="225" hidden="1" customWidth="1"/>
    <col min="10" max="10" width="10.7109375" style="225" hidden="1" customWidth="1"/>
    <col min="11" max="11" width="12.7109375" style="225" hidden="1" customWidth="1"/>
    <col min="12" max="16" width="7.42578125" style="225" hidden="1" customWidth="1"/>
    <col min="17" max="17" width="3.7109375" style="225" hidden="1" customWidth="1"/>
    <col min="18" max="18" width="12.7109375" style="70" customWidth="1"/>
    <col min="19" max="19" width="14.28515625" style="70" bestFit="1" customWidth="1"/>
    <col min="20" max="21" width="12.7109375" style="225" customWidth="1"/>
    <col min="22" max="16384" width="7.42578125" style="225"/>
  </cols>
  <sheetData>
    <row r="1" spans="1:20" ht="19.7" customHeight="1">
      <c r="A1" s="580" t="s">
        <v>330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S1" s="226" t="s">
        <v>331</v>
      </c>
      <c r="T1" s="227">
        <v>5.9</v>
      </c>
    </row>
    <row r="2" spans="1:20" ht="19.7" customHeight="1">
      <c r="R2" s="581" t="s">
        <v>332</v>
      </c>
      <c r="S2" s="228" t="s">
        <v>333</v>
      </c>
      <c r="T2" s="229">
        <v>25</v>
      </c>
    </row>
    <row r="3" spans="1:20" ht="19.7" customHeight="1">
      <c r="A3" s="230" t="s">
        <v>145</v>
      </c>
      <c r="B3" s="583" t="s">
        <v>334</v>
      </c>
      <c r="C3" s="584"/>
      <c r="D3" s="584"/>
      <c r="E3" s="584"/>
      <c r="F3" s="584"/>
      <c r="G3" s="585"/>
      <c r="H3" s="230" t="s">
        <v>335</v>
      </c>
      <c r="I3" s="229" t="s">
        <v>336</v>
      </c>
      <c r="J3" s="230" t="s">
        <v>337</v>
      </c>
      <c r="K3" s="231" t="s">
        <v>338</v>
      </c>
      <c r="L3" s="583" t="s">
        <v>339</v>
      </c>
      <c r="M3" s="584"/>
      <c r="N3" s="584"/>
      <c r="O3" s="584"/>
      <c r="P3" s="585"/>
      <c r="R3" s="582"/>
      <c r="S3" s="232" t="s">
        <v>340</v>
      </c>
      <c r="T3" s="233">
        <v>41593</v>
      </c>
    </row>
    <row r="4" spans="1:20" ht="19.7" customHeight="1">
      <c r="A4" s="234" t="s">
        <v>341</v>
      </c>
      <c r="B4" s="235" t="s">
        <v>342</v>
      </c>
      <c r="C4" s="235"/>
      <c r="D4" s="235"/>
      <c r="E4" s="235"/>
      <c r="F4" s="235"/>
      <c r="G4" s="235"/>
      <c r="H4" s="236"/>
      <c r="I4" s="236"/>
      <c r="J4" s="237"/>
      <c r="K4" s="238"/>
      <c r="L4" s="239"/>
      <c r="M4" s="239"/>
      <c r="N4" s="239"/>
      <c r="O4" s="239"/>
      <c r="P4" s="240"/>
      <c r="R4" s="241"/>
    </row>
    <row r="5" spans="1:20" ht="19.7" customHeight="1">
      <c r="A5" s="242">
        <v>1.1000000000000001</v>
      </c>
      <c r="B5" s="586" t="s">
        <v>328</v>
      </c>
      <c r="C5" s="586"/>
      <c r="D5" s="586"/>
      <c r="E5" s="586"/>
      <c r="F5" s="586"/>
      <c r="G5" s="586"/>
      <c r="H5" s="243" t="s">
        <v>343</v>
      </c>
      <c r="I5" s="244" t="s">
        <v>344</v>
      </c>
      <c r="J5" s="243">
        <v>41422</v>
      </c>
      <c r="K5" s="245">
        <v>35</v>
      </c>
      <c r="L5" s="587" t="s">
        <v>345</v>
      </c>
      <c r="M5" s="586"/>
      <c r="N5" s="586"/>
      <c r="O5" s="586"/>
      <c r="P5" s="588"/>
      <c r="Q5" s="246"/>
      <c r="R5" s="247">
        <f>IF(J5&gt;0, K5*(1+(T$2/100)*S5), "")</f>
        <v>39.059027777777771</v>
      </c>
      <c r="S5" s="248">
        <f>IF(K5&gt;0, DAYS360(J5,T$3)/360, "")</f>
        <v>0.46388888888888891</v>
      </c>
      <c r="T5" s="249"/>
    </row>
    <row r="6" spans="1:20" ht="19.7" customHeight="1">
      <c r="A6" s="250" t="s">
        <v>15</v>
      </c>
      <c r="B6" s="589" t="s">
        <v>346</v>
      </c>
      <c r="C6" s="589"/>
      <c r="D6" s="589"/>
      <c r="E6" s="589"/>
      <c r="F6" s="589"/>
      <c r="G6" s="589"/>
      <c r="H6" s="251" t="s">
        <v>347</v>
      </c>
      <c r="I6" s="252" t="s">
        <v>344</v>
      </c>
      <c r="J6" s="251">
        <v>41351</v>
      </c>
      <c r="K6" s="253">
        <v>50</v>
      </c>
      <c r="L6" s="590" t="s">
        <v>348</v>
      </c>
      <c r="M6" s="589"/>
      <c r="N6" s="589"/>
      <c r="O6" s="589"/>
      <c r="P6" s="591"/>
      <c r="Q6" s="246"/>
      <c r="R6" s="254">
        <f t="shared" ref="R6:R75" si="0">IF(J6&gt;0, K6*(1+(T$2/100)*S6), "")</f>
        <v>58.229166666666664</v>
      </c>
      <c r="S6" s="255">
        <f t="shared" ref="S6:S75" si="1">IF(K6&gt;0, DAYS360(J6,T$3)/360, "")</f>
        <v>0.65833333333333333</v>
      </c>
      <c r="T6" s="249"/>
    </row>
    <row r="7" spans="1:20" ht="19.7" customHeight="1">
      <c r="A7" s="250" t="s">
        <v>14</v>
      </c>
      <c r="B7" s="589" t="s">
        <v>349</v>
      </c>
      <c r="C7" s="589"/>
      <c r="D7" s="589"/>
      <c r="E7" s="589"/>
      <c r="F7" s="589"/>
      <c r="G7" s="589"/>
      <c r="H7" s="251" t="s">
        <v>343</v>
      </c>
      <c r="I7" s="252" t="s">
        <v>344</v>
      </c>
      <c r="J7" s="251">
        <v>41422</v>
      </c>
      <c r="K7" s="253">
        <v>35</v>
      </c>
      <c r="L7" s="590" t="s">
        <v>345</v>
      </c>
      <c r="M7" s="589"/>
      <c r="N7" s="589"/>
      <c r="O7" s="589"/>
      <c r="P7" s="591"/>
      <c r="Q7" s="246"/>
      <c r="R7" s="254">
        <f t="shared" si="0"/>
        <v>39.059027777777771</v>
      </c>
      <c r="S7" s="255">
        <f t="shared" si="1"/>
        <v>0.46388888888888891</v>
      </c>
      <c r="T7" s="249"/>
    </row>
    <row r="8" spans="1:20" ht="19.7" customHeight="1">
      <c r="A8" s="250" t="s">
        <v>41</v>
      </c>
      <c r="B8" s="589" t="s">
        <v>350</v>
      </c>
      <c r="C8" s="589"/>
      <c r="D8" s="589"/>
      <c r="E8" s="589"/>
      <c r="F8" s="589"/>
      <c r="G8" s="589"/>
      <c r="H8" s="251" t="s">
        <v>343</v>
      </c>
      <c r="I8" s="252" t="s">
        <v>344</v>
      </c>
      <c r="J8" s="251">
        <v>41422</v>
      </c>
      <c r="K8" s="253">
        <v>35</v>
      </c>
      <c r="L8" s="590" t="s">
        <v>345</v>
      </c>
      <c r="M8" s="589"/>
      <c r="N8" s="589"/>
      <c r="O8" s="589"/>
      <c r="P8" s="591"/>
      <c r="Q8" s="256"/>
      <c r="R8" s="254">
        <f t="shared" si="0"/>
        <v>39.059027777777771</v>
      </c>
      <c r="S8" s="255">
        <f t="shared" si="1"/>
        <v>0.46388888888888891</v>
      </c>
      <c r="T8" s="249"/>
    </row>
    <row r="9" spans="1:20" ht="19.7" customHeight="1">
      <c r="A9" s="250" t="s">
        <v>351</v>
      </c>
      <c r="B9" s="589" t="s">
        <v>352</v>
      </c>
      <c r="C9" s="589"/>
      <c r="D9" s="589"/>
      <c r="E9" s="589"/>
      <c r="F9" s="589"/>
      <c r="G9" s="589"/>
      <c r="H9" s="257"/>
      <c r="I9" s="252" t="s">
        <v>344</v>
      </c>
      <c r="J9" s="251">
        <v>41519</v>
      </c>
      <c r="K9" s="253">
        <v>20</v>
      </c>
      <c r="L9" s="590" t="s">
        <v>353</v>
      </c>
      <c r="M9" s="589"/>
      <c r="N9" s="589"/>
      <c r="O9" s="589"/>
      <c r="P9" s="591"/>
      <c r="Q9" s="246"/>
      <c r="R9" s="254">
        <f t="shared" si="0"/>
        <v>21.013888888888886</v>
      </c>
      <c r="S9" s="255">
        <f t="shared" si="1"/>
        <v>0.20277777777777778</v>
      </c>
      <c r="T9" s="249"/>
    </row>
    <row r="10" spans="1:20" ht="19.7" customHeight="1">
      <c r="A10" s="250" t="s">
        <v>65</v>
      </c>
      <c r="B10" s="589" t="s">
        <v>354</v>
      </c>
      <c r="C10" s="589"/>
      <c r="D10" s="589"/>
      <c r="E10" s="589"/>
      <c r="F10" s="589"/>
      <c r="G10" s="589"/>
      <c r="H10" s="257" t="s">
        <v>355</v>
      </c>
      <c r="I10" s="252" t="s">
        <v>344</v>
      </c>
      <c r="J10" s="251">
        <v>41519</v>
      </c>
      <c r="K10" s="253">
        <v>705</v>
      </c>
      <c r="L10" s="590" t="s">
        <v>356</v>
      </c>
      <c r="M10" s="589"/>
      <c r="N10" s="589"/>
      <c r="O10" s="589"/>
      <c r="P10" s="591"/>
      <c r="Q10" s="256"/>
      <c r="R10" s="254">
        <f t="shared" si="0"/>
        <v>740.73958333333326</v>
      </c>
      <c r="S10" s="255">
        <f t="shared" si="1"/>
        <v>0.20277777777777778</v>
      </c>
      <c r="T10" s="249"/>
    </row>
    <row r="11" spans="1:20" ht="19.7" customHeight="1">
      <c r="A11" s="250" t="s">
        <v>66</v>
      </c>
      <c r="B11" s="589" t="s">
        <v>357</v>
      </c>
      <c r="C11" s="589"/>
      <c r="D11" s="589"/>
      <c r="E11" s="589"/>
      <c r="F11" s="589"/>
      <c r="G11" s="589"/>
      <c r="H11" s="257"/>
      <c r="I11" s="252" t="s">
        <v>344</v>
      </c>
      <c r="J11" s="251">
        <v>41519</v>
      </c>
      <c r="K11" s="258">
        <v>35</v>
      </c>
      <c r="L11" s="590" t="s">
        <v>353</v>
      </c>
      <c r="M11" s="589"/>
      <c r="N11" s="589"/>
      <c r="O11" s="589"/>
      <c r="P11" s="591"/>
      <c r="Q11" s="256"/>
      <c r="R11" s="254">
        <f t="shared" si="0"/>
        <v>36.77430555555555</v>
      </c>
      <c r="S11" s="255">
        <f t="shared" si="1"/>
        <v>0.20277777777777778</v>
      </c>
      <c r="T11" s="249"/>
    </row>
    <row r="12" spans="1:20" ht="19.7" customHeight="1">
      <c r="A12" s="259"/>
      <c r="B12" s="592"/>
      <c r="C12" s="592"/>
      <c r="D12" s="592"/>
      <c r="E12" s="592"/>
      <c r="F12" s="592"/>
      <c r="G12" s="592"/>
      <c r="H12" s="260"/>
      <c r="I12" s="261"/>
      <c r="J12" s="260"/>
      <c r="K12" s="262"/>
      <c r="L12" s="593"/>
      <c r="M12" s="592"/>
      <c r="N12" s="592"/>
      <c r="O12" s="592"/>
      <c r="P12" s="594"/>
      <c r="Q12" s="256"/>
      <c r="R12" s="254" t="str">
        <f t="shared" si="0"/>
        <v/>
      </c>
      <c r="S12" s="255" t="str">
        <f t="shared" si="1"/>
        <v/>
      </c>
      <c r="T12" s="249"/>
    </row>
    <row r="13" spans="1:20" ht="19.7" customHeight="1">
      <c r="A13" s="234" t="s">
        <v>358</v>
      </c>
      <c r="B13" s="235" t="s">
        <v>359</v>
      </c>
      <c r="C13" s="235"/>
      <c r="D13" s="235"/>
      <c r="E13" s="235"/>
      <c r="F13" s="235"/>
      <c r="G13" s="235"/>
      <c r="H13" s="236"/>
      <c r="I13" s="236"/>
      <c r="J13" s="263"/>
      <c r="K13" s="238"/>
      <c r="L13" s="239"/>
      <c r="M13" s="239"/>
      <c r="N13" s="239"/>
      <c r="O13" s="239"/>
      <c r="P13" s="240"/>
      <c r="R13" s="254" t="str">
        <f t="shared" si="0"/>
        <v/>
      </c>
      <c r="S13" s="255" t="str">
        <f t="shared" si="1"/>
        <v/>
      </c>
      <c r="T13" s="249"/>
    </row>
    <row r="14" spans="1:20" ht="19.7" customHeight="1">
      <c r="A14" s="242" t="s">
        <v>7</v>
      </c>
      <c r="B14" s="586" t="s">
        <v>360</v>
      </c>
      <c r="C14" s="586"/>
      <c r="D14" s="586"/>
      <c r="E14" s="586"/>
      <c r="F14" s="586"/>
      <c r="G14" s="586"/>
      <c r="H14" s="264" t="s">
        <v>361</v>
      </c>
      <c r="I14" s="265" t="s">
        <v>362</v>
      </c>
      <c r="J14" s="243">
        <v>41389</v>
      </c>
      <c r="K14" s="266">
        <v>0.89</v>
      </c>
      <c r="L14" s="587" t="s">
        <v>363</v>
      </c>
      <c r="M14" s="586"/>
      <c r="N14" s="586"/>
      <c r="O14" s="586"/>
      <c r="P14" s="588"/>
      <c r="R14" s="254">
        <f t="shared" si="0"/>
        <v>1.013611111111111</v>
      </c>
      <c r="S14" s="255">
        <f t="shared" si="1"/>
        <v>0.55555555555555558</v>
      </c>
      <c r="T14" s="249"/>
    </row>
    <row r="15" spans="1:20" ht="19.7" customHeight="1">
      <c r="A15" s="250" t="s">
        <v>8</v>
      </c>
      <c r="B15" s="589" t="s">
        <v>364</v>
      </c>
      <c r="C15" s="589"/>
      <c r="D15" s="589"/>
      <c r="E15" s="589"/>
      <c r="F15" s="589"/>
      <c r="G15" s="589"/>
      <c r="H15" s="267" t="s">
        <v>365</v>
      </c>
      <c r="I15" s="268" t="s">
        <v>362</v>
      </c>
      <c r="J15" s="251">
        <v>41394</v>
      </c>
      <c r="K15" s="269">
        <v>0.88</v>
      </c>
      <c r="L15" s="590" t="s">
        <v>363</v>
      </c>
      <c r="M15" s="589"/>
      <c r="N15" s="589"/>
      <c r="O15" s="589"/>
      <c r="P15" s="591"/>
      <c r="R15" s="254">
        <f t="shared" si="0"/>
        <v>0.99916666666666676</v>
      </c>
      <c r="S15" s="255">
        <f t="shared" si="1"/>
        <v>0.54166666666666663</v>
      </c>
      <c r="T15" s="249"/>
    </row>
    <row r="16" spans="1:20" ht="19.7" customHeight="1">
      <c r="A16" s="250" t="s">
        <v>109</v>
      </c>
      <c r="B16" s="589" t="s">
        <v>366</v>
      </c>
      <c r="C16" s="589"/>
      <c r="D16" s="589"/>
      <c r="E16" s="589"/>
      <c r="F16" s="589"/>
      <c r="G16" s="589"/>
      <c r="H16" s="267" t="s">
        <v>367</v>
      </c>
      <c r="I16" s="268" t="s">
        <v>362</v>
      </c>
      <c r="J16" s="251">
        <v>41386</v>
      </c>
      <c r="K16" s="269">
        <v>1.66</v>
      </c>
      <c r="L16" s="590" t="s">
        <v>363</v>
      </c>
      <c r="M16" s="589"/>
      <c r="N16" s="589"/>
      <c r="O16" s="589"/>
      <c r="P16" s="591"/>
      <c r="R16" s="254">
        <f t="shared" si="0"/>
        <v>1.8940138888888889</v>
      </c>
      <c r="S16" s="255">
        <f t="shared" si="1"/>
        <v>0.56388888888888888</v>
      </c>
      <c r="T16" s="249"/>
    </row>
    <row r="17" spans="1:20" ht="19.7" customHeight="1">
      <c r="A17" s="250" t="s">
        <v>110</v>
      </c>
      <c r="B17" s="589" t="s">
        <v>368</v>
      </c>
      <c r="C17" s="589"/>
      <c r="D17" s="589"/>
      <c r="E17" s="589"/>
      <c r="F17" s="589"/>
      <c r="G17" s="589"/>
      <c r="H17" s="267" t="s">
        <v>369</v>
      </c>
      <c r="I17" s="268" t="s">
        <v>362</v>
      </c>
      <c r="J17" s="251">
        <v>41373</v>
      </c>
      <c r="K17" s="269">
        <v>4.55</v>
      </c>
      <c r="L17" s="590" t="s">
        <v>370</v>
      </c>
      <c r="M17" s="589"/>
      <c r="N17" s="589"/>
      <c r="O17" s="589"/>
      <c r="P17" s="591"/>
      <c r="R17" s="254">
        <f t="shared" si="0"/>
        <v>5.232499999999999</v>
      </c>
      <c r="S17" s="255">
        <f t="shared" si="1"/>
        <v>0.6</v>
      </c>
      <c r="T17" s="249"/>
    </row>
    <row r="18" spans="1:20" ht="19.7" customHeight="1">
      <c r="A18" s="250" t="s">
        <v>371</v>
      </c>
      <c r="B18" s="590" t="s">
        <v>372</v>
      </c>
      <c r="C18" s="589"/>
      <c r="D18" s="589"/>
      <c r="E18" s="589"/>
      <c r="F18" s="589"/>
      <c r="G18" s="591"/>
      <c r="H18" s="267" t="s">
        <v>373</v>
      </c>
      <c r="I18" s="268" t="s">
        <v>362</v>
      </c>
      <c r="J18" s="251">
        <v>41243</v>
      </c>
      <c r="K18" s="269">
        <v>3.17</v>
      </c>
      <c r="L18" s="590" t="s">
        <v>363</v>
      </c>
      <c r="M18" s="589"/>
      <c r="N18" s="589"/>
      <c r="O18" s="589"/>
      <c r="P18" s="591"/>
      <c r="R18" s="254">
        <f t="shared" si="0"/>
        <v>3.9294791666666664</v>
      </c>
      <c r="S18" s="255">
        <f t="shared" si="1"/>
        <v>0.95833333333333337</v>
      </c>
      <c r="T18" s="249"/>
    </row>
    <row r="19" spans="1:20" ht="19.7" customHeight="1">
      <c r="A19" s="250" t="s">
        <v>374</v>
      </c>
      <c r="B19" s="590" t="s">
        <v>375</v>
      </c>
      <c r="C19" s="589"/>
      <c r="D19" s="589"/>
      <c r="E19" s="589"/>
      <c r="F19" s="589"/>
      <c r="G19" s="591"/>
      <c r="H19" s="267" t="s">
        <v>373</v>
      </c>
      <c r="I19" s="268" t="s">
        <v>362</v>
      </c>
      <c r="J19" s="251">
        <v>41373</v>
      </c>
      <c r="K19" s="269">
        <v>3.9</v>
      </c>
      <c r="L19" s="590" t="s">
        <v>370</v>
      </c>
      <c r="M19" s="589"/>
      <c r="N19" s="589"/>
      <c r="O19" s="589"/>
      <c r="P19" s="591"/>
      <c r="R19" s="254">
        <f t="shared" si="0"/>
        <v>4.4849999999999994</v>
      </c>
      <c r="S19" s="255">
        <f t="shared" si="1"/>
        <v>0.6</v>
      </c>
      <c r="T19" s="249"/>
    </row>
    <row r="20" spans="1:20" ht="19.7" customHeight="1">
      <c r="A20" s="250" t="s">
        <v>376</v>
      </c>
      <c r="B20" s="590" t="s">
        <v>377</v>
      </c>
      <c r="C20" s="589"/>
      <c r="D20" s="589"/>
      <c r="E20" s="589"/>
      <c r="F20" s="589"/>
      <c r="G20" s="591"/>
      <c r="H20" s="267" t="s">
        <v>378</v>
      </c>
      <c r="I20" s="268" t="s">
        <v>362</v>
      </c>
      <c r="J20" s="251">
        <v>41395</v>
      </c>
      <c r="K20" s="269">
        <f>129.73/25</f>
        <v>5.1891999999999996</v>
      </c>
      <c r="L20" s="590" t="s">
        <v>356</v>
      </c>
      <c r="M20" s="589"/>
      <c r="N20" s="589"/>
      <c r="O20" s="589"/>
      <c r="P20" s="591"/>
      <c r="R20" s="254">
        <f t="shared" si="0"/>
        <v>5.8883005555555545</v>
      </c>
      <c r="S20" s="255">
        <f t="shared" si="1"/>
        <v>0.53888888888888886</v>
      </c>
      <c r="T20" s="249"/>
    </row>
    <row r="21" spans="1:20" ht="19.7" customHeight="1">
      <c r="A21" s="250" t="s">
        <v>379</v>
      </c>
      <c r="B21" s="590" t="s">
        <v>380</v>
      </c>
      <c r="C21" s="589"/>
      <c r="D21" s="589"/>
      <c r="E21" s="589"/>
      <c r="F21" s="589"/>
      <c r="G21" s="591"/>
      <c r="H21" s="267" t="s">
        <v>381</v>
      </c>
      <c r="I21" s="268" t="s">
        <v>3</v>
      </c>
      <c r="J21" s="251">
        <v>41518</v>
      </c>
      <c r="K21" s="269">
        <v>235</v>
      </c>
      <c r="L21" s="590" t="s">
        <v>382</v>
      </c>
      <c r="M21" s="589"/>
      <c r="N21" s="589"/>
      <c r="O21" s="589"/>
      <c r="P21" s="591"/>
      <c r="R21" s="254">
        <f t="shared" si="0"/>
        <v>247.07638888888889</v>
      </c>
      <c r="S21" s="255">
        <f t="shared" si="1"/>
        <v>0.20555555555555555</v>
      </c>
      <c r="T21" s="249"/>
    </row>
    <row r="22" spans="1:20" ht="19.7" customHeight="1">
      <c r="A22" s="250" t="s">
        <v>383</v>
      </c>
      <c r="B22" s="590" t="s">
        <v>384</v>
      </c>
      <c r="C22" s="589"/>
      <c r="D22" s="589"/>
      <c r="E22" s="589"/>
      <c r="F22" s="589"/>
      <c r="G22" s="591"/>
      <c r="H22" s="270" t="s">
        <v>385</v>
      </c>
      <c r="I22" s="268" t="s">
        <v>386</v>
      </c>
      <c r="J22" s="251">
        <v>41381</v>
      </c>
      <c r="K22" s="269">
        <v>3.08</v>
      </c>
      <c r="L22" s="590" t="s">
        <v>382</v>
      </c>
      <c r="M22" s="589"/>
      <c r="N22" s="589"/>
      <c r="O22" s="589"/>
      <c r="P22" s="591"/>
      <c r="R22" s="254">
        <f t="shared" si="0"/>
        <v>3.524888888888889</v>
      </c>
      <c r="S22" s="255">
        <f t="shared" si="1"/>
        <v>0.57777777777777772</v>
      </c>
      <c r="T22" s="249"/>
    </row>
    <row r="23" spans="1:20" ht="19.7" customHeight="1">
      <c r="A23" s="250" t="s">
        <v>387</v>
      </c>
      <c r="B23" s="590" t="s">
        <v>388</v>
      </c>
      <c r="C23" s="589"/>
      <c r="D23" s="589"/>
      <c r="E23" s="589"/>
      <c r="F23" s="589"/>
      <c r="G23" s="591"/>
      <c r="H23" s="270"/>
      <c r="I23" s="268" t="s">
        <v>386</v>
      </c>
      <c r="J23" s="251">
        <v>41384</v>
      </c>
      <c r="K23" s="269">
        <v>7.07</v>
      </c>
      <c r="L23" s="590" t="s">
        <v>363</v>
      </c>
      <c r="M23" s="589"/>
      <c r="N23" s="589"/>
      <c r="O23" s="589"/>
      <c r="P23" s="591"/>
      <c r="R23" s="254">
        <f t="shared" si="0"/>
        <v>8.0764930555555559</v>
      </c>
      <c r="S23" s="255">
        <f t="shared" si="1"/>
        <v>0.56944444444444442</v>
      </c>
      <c r="T23" s="249"/>
    </row>
    <row r="24" spans="1:20" ht="19.7" customHeight="1">
      <c r="A24" s="250" t="s">
        <v>389</v>
      </c>
      <c r="B24" s="590" t="s">
        <v>390</v>
      </c>
      <c r="C24" s="589"/>
      <c r="D24" s="589"/>
      <c r="E24" s="589"/>
      <c r="F24" s="589"/>
      <c r="G24" s="591"/>
      <c r="H24" s="270"/>
      <c r="I24" s="268" t="s">
        <v>391</v>
      </c>
      <c r="J24" s="251">
        <v>41384</v>
      </c>
      <c r="K24" s="269">
        <v>14.73</v>
      </c>
      <c r="L24" s="590" t="s">
        <v>363</v>
      </c>
      <c r="M24" s="589"/>
      <c r="N24" s="589"/>
      <c r="O24" s="589"/>
      <c r="P24" s="591"/>
      <c r="R24" s="254">
        <f t="shared" si="0"/>
        <v>16.826979166666668</v>
      </c>
      <c r="S24" s="255">
        <f t="shared" si="1"/>
        <v>0.56944444444444442</v>
      </c>
      <c r="T24" s="249"/>
    </row>
    <row r="25" spans="1:20" ht="19.7" customHeight="1">
      <c r="A25" s="250" t="s">
        <v>392</v>
      </c>
      <c r="B25" s="590" t="s">
        <v>393</v>
      </c>
      <c r="C25" s="589"/>
      <c r="D25" s="589"/>
      <c r="E25" s="589"/>
      <c r="F25" s="589"/>
      <c r="G25" s="591"/>
      <c r="H25" s="267" t="s">
        <v>394</v>
      </c>
      <c r="I25" s="268" t="s">
        <v>386</v>
      </c>
      <c r="J25" s="251">
        <v>41384</v>
      </c>
      <c r="K25" s="269">
        <v>16.45</v>
      </c>
      <c r="L25" s="590" t="s">
        <v>363</v>
      </c>
      <c r="M25" s="589"/>
      <c r="N25" s="589"/>
      <c r="O25" s="589"/>
      <c r="P25" s="591"/>
      <c r="R25" s="254">
        <f t="shared" si="0"/>
        <v>18.791840277777776</v>
      </c>
      <c r="S25" s="255">
        <f t="shared" si="1"/>
        <v>0.56944444444444442</v>
      </c>
      <c r="T25" s="249"/>
    </row>
    <row r="26" spans="1:20" ht="19.7" customHeight="1">
      <c r="A26" s="250" t="s">
        <v>395</v>
      </c>
      <c r="B26" s="590" t="s">
        <v>396</v>
      </c>
      <c r="C26" s="589"/>
      <c r="D26" s="589"/>
      <c r="E26" s="589"/>
      <c r="F26" s="589"/>
      <c r="G26" s="591"/>
      <c r="H26" s="267" t="s">
        <v>394</v>
      </c>
      <c r="I26" s="268" t="s">
        <v>386</v>
      </c>
      <c r="J26" s="251">
        <v>41395</v>
      </c>
      <c r="K26" s="269">
        <v>18.940000000000001</v>
      </c>
      <c r="L26" s="590" t="s">
        <v>356</v>
      </c>
      <c r="M26" s="589"/>
      <c r="N26" s="589"/>
      <c r="O26" s="589"/>
      <c r="P26" s="591"/>
      <c r="R26" s="254">
        <f t="shared" si="0"/>
        <v>21.49163888888889</v>
      </c>
      <c r="S26" s="255">
        <f t="shared" si="1"/>
        <v>0.53888888888888886</v>
      </c>
      <c r="T26" s="249"/>
    </row>
    <row r="27" spans="1:20" ht="19.7" customHeight="1">
      <c r="A27" s="250" t="s">
        <v>397</v>
      </c>
      <c r="B27" s="590" t="s">
        <v>398</v>
      </c>
      <c r="C27" s="589"/>
      <c r="D27" s="589"/>
      <c r="E27" s="589"/>
      <c r="F27" s="589"/>
      <c r="G27" s="591"/>
      <c r="H27" s="267" t="s">
        <v>399</v>
      </c>
      <c r="I27" s="268" t="s">
        <v>386</v>
      </c>
      <c r="J27" s="251">
        <v>41520</v>
      </c>
      <c r="K27" s="269">
        <v>5</v>
      </c>
      <c r="L27" s="590" t="s">
        <v>353</v>
      </c>
      <c r="M27" s="589"/>
      <c r="N27" s="589"/>
      <c r="O27" s="589"/>
      <c r="P27" s="591"/>
      <c r="R27" s="254">
        <f t="shared" si="0"/>
        <v>5.25</v>
      </c>
      <c r="S27" s="255">
        <f t="shared" si="1"/>
        <v>0.2</v>
      </c>
      <c r="T27" s="249"/>
    </row>
    <row r="28" spans="1:20" ht="19.7" customHeight="1">
      <c r="A28" s="250" t="s">
        <v>400</v>
      </c>
      <c r="B28" s="590" t="s">
        <v>401</v>
      </c>
      <c r="C28" s="589"/>
      <c r="D28" s="589"/>
      <c r="E28" s="589"/>
      <c r="F28" s="589"/>
      <c r="G28" s="591"/>
      <c r="H28" s="267" t="s">
        <v>402</v>
      </c>
      <c r="I28" s="268" t="s">
        <v>386</v>
      </c>
      <c r="J28" s="251">
        <v>41409</v>
      </c>
      <c r="K28" s="269">
        <v>8.4</v>
      </c>
      <c r="L28" s="590" t="s">
        <v>356</v>
      </c>
      <c r="M28" s="589"/>
      <c r="N28" s="589"/>
      <c r="O28" s="589"/>
      <c r="P28" s="591"/>
      <c r="R28" s="254">
        <f t="shared" si="0"/>
        <v>9.4500000000000011</v>
      </c>
      <c r="S28" s="255">
        <f t="shared" si="1"/>
        <v>0.5</v>
      </c>
      <c r="T28" s="249"/>
    </row>
    <row r="29" spans="1:20" ht="19.7" customHeight="1">
      <c r="A29" s="250" t="s">
        <v>403</v>
      </c>
      <c r="B29" s="589" t="s">
        <v>404</v>
      </c>
      <c r="C29" s="589"/>
      <c r="D29" s="589"/>
      <c r="E29" s="589"/>
      <c r="F29" s="589"/>
      <c r="G29" s="589"/>
      <c r="H29" s="267" t="s">
        <v>373</v>
      </c>
      <c r="I29" s="268" t="s">
        <v>362</v>
      </c>
      <c r="J29" s="251">
        <v>41409</v>
      </c>
      <c r="K29" s="269">
        <v>1.85</v>
      </c>
      <c r="L29" s="590" t="s">
        <v>356</v>
      </c>
      <c r="M29" s="589"/>
      <c r="N29" s="589"/>
      <c r="O29" s="589"/>
      <c r="P29" s="591"/>
      <c r="R29" s="254">
        <f t="shared" si="0"/>
        <v>2.0812500000000003</v>
      </c>
      <c r="S29" s="255">
        <f t="shared" si="1"/>
        <v>0.5</v>
      </c>
      <c r="T29" s="249"/>
    </row>
    <row r="30" spans="1:20" ht="19.7" customHeight="1">
      <c r="A30" s="259"/>
      <c r="B30" s="592"/>
      <c r="C30" s="592"/>
      <c r="D30" s="592"/>
      <c r="E30" s="592"/>
      <c r="F30" s="592"/>
      <c r="G30" s="592"/>
      <c r="H30" s="271"/>
      <c r="I30" s="272"/>
      <c r="J30" s="273"/>
      <c r="K30" s="274"/>
      <c r="L30" s="595"/>
      <c r="M30" s="596"/>
      <c r="N30" s="596"/>
      <c r="O30" s="596"/>
      <c r="P30" s="597"/>
      <c r="R30" s="254" t="str">
        <f t="shared" si="0"/>
        <v/>
      </c>
      <c r="S30" s="255" t="str">
        <f t="shared" si="1"/>
        <v/>
      </c>
      <c r="T30" s="249"/>
    </row>
    <row r="31" spans="1:20" ht="19.7" customHeight="1">
      <c r="A31" s="234" t="s">
        <v>405</v>
      </c>
      <c r="B31" s="235" t="s">
        <v>406</v>
      </c>
      <c r="C31" s="235"/>
      <c r="D31" s="235"/>
      <c r="E31" s="235"/>
      <c r="F31" s="235"/>
      <c r="G31" s="235"/>
      <c r="H31" s="236"/>
      <c r="I31" s="236"/>
      <c r="J31" s="237"/>
      <c r="K31" s="275"/>
      <c r="L31" s="239"/>
      <c r="M31" s="239"/>
      <c r="N31" s="239"/>
      <c r="O31" s="239"/>
      <c r="P31" s="240"/>
      <c r="R31" s="254" t="str">
        <f t="shared" si="0"/>
        <v/>
      </c>
      <c r="S31" s="255" t="str">
        <f t="shared" si="1"/>
        <v/>
      </c>
    </row>
    <row r="32" spans="1:20" ht="19.7" customHeight="1">
      <c r="A32" s="276" t="s">
        <v>117</v>
      </c>
      <c r="B32" s="586" t="s">
        <v>407</v>
      </c>
      <c r="C32" s="586"/>
      <c r="D32" s="586"/>
      <c r="E32" s="586"/>
      <c r="F32" s="586"/>
      <c r="G32" s="586"/>
      <c r="H32" s="243" t="s">
        <v>408</v>
      </c>
      <c r="I32" s="265" t="s">
        <v>409</v>
      </c>
      <c r="J32" s="243">
        <v>41394</v>
      </c>
      <c r="K32" s="277">
        <v>10.02</v>
      </c>
      <c r="L32" s="587" t="s">
        <v>363</v>
      </c>
      <c r="M32" s="586"/>
      <c r="N32" s="586"/>
      <c r="O32" s="586"/>
      <c r="P32" s="588"/>
      <c r="R32" s="254">
        <f t="shared" si="0"/>
        <v>11.376875</v>
      </c>
      <c r="S32" s="255">
        <f t="shared" si="1"/>
        <v>0.54166666666666663</v>
      </c>
    </row>
    <row r="33" spans="1:19" ht="19.7" customHeight="1">
      <c r="A33" s="278" t="s">
        <v>120</v>
      </c>
      <c r="B33" s="589" t="s">
        <v>410</v>
      </c>
      <c r="C33" s="589"/>
      <c r="D33" s="589"/>
      <c r="E33" s="589"/>
      <c r="F33" s="589"/>
      <c r="G33" s="589"/>
      <c r="H33" s="251" t="s">
        <v>408</v>
      </c>
      <c r="I33" s="268" t="s">
        <v>409</v>
      </c>
      <c r="J33" s="251">
        <v>41237</v>
      </c>
      <c r="K33" s="279">
        <v>11.13</v>
      </c>
      <c r="L33" s="590" t="s">
        <v>363</v>
      </c>
      <c r="M33" s="589"/>
      <c r="N33" s="589"/>
      <c r="O33" s="589"/>
      <c r="P33" s="591"/>
      <c r="R33" s="254">
        <f t="shared" si="0"/>
        <v>13.8429375</v>
      </c>
      <c r="S33" s="255">
        <f t="shared" si="1"/>
        <v>0.97499999999999998</v>
      </c>
    </row>
    <row r="34" spans="1:19" ht="19.7" customHeight="1">
      <c r="A34" s="278" t="s">
        <v>411</v>
      </c>
      <c r="B34" s="589" t="s">
        <v>412</v>
      </c>
      <c r="C34" s="589"/>
      <c r="D34" s="589"/>
      <c r="E34" s="589"/>
      <c r="F34" s="589"/>
      <c r="G34" s="589"/>
      <c r="H34" s="251" t="s">
        <v>408</v>
      </c>
      <c r="I34" s="268" t="s">
        <v>409</v>
      </c>
      <c r="J34" s="251">
        <v>41361</v>
      </c>
      <c r="K34" s="279">
        <v>11.2</v>
      </c>
      <c r="L34" s="590" t="s">
        <v>363</v>
      </c>
      <c r="M34" s="589"/>
      <c r="N34" s="589"/>
      <c r="O34" s="589"/>
      <c r="P34" s="591"/>
      <c r="R34" s="254">
        <f t="shared" si="0"/>
        <v>12.965555555555556</v>
      </c>
      <c r="S34" s="255">
        <f t="shared" si="1"/>
        <v>0.63055555555555554</v>
      </c>
    </row>
    <row r="35" spans="1:19" ht="19.7" customHeight="1">
      <c r="A35" s="278" t="s">
        <v>413</v>
      </c>
      <c r="B35" s="589" t="s">
        <v>414</v>
      </c>
      <c r="C35" s="589"/>
      <c r="D35" s="589"/>
      <c r="E35" s="589"/>
      <c r="F35" s="589"/>
      <c r="G35" s="589"/>
      <c r="H35" s="257"/>
      <c r="I35" s="268" t="s">
        <v>409</v>
      </c>
      <c r="J35" s="251">
        <v>41122</v>
      </c>
      <c r="K35" s="279">
        <v>13.76</v>
      </c>
      <c r="L35" s="590" t="s">
        <v>415</v>
      </c>
      <c r="M35" s="589"/>
      <c r="N35" s="589"/>
      <c r="O35" s="589"/>
      <c r="P35" s="591"/>
      <c r="R35" s="254">
        <f t="shared" si="0"/>
        <v>18.193777777777775</v>
      </c>
      <c r="S35" s="255">
        <f t="shared" si="1"/>
        <v>1.288888888888889</v>
      </c>
    </row>
    <row r="36" spans="1:19" ht="19.7" customHeight="1">
      <c r="A36" s="278" t="s">
        <v>416</v>
      </c>
      <c r="B36" s="589" t="s">
        <v>417</v>
      </c>
      <c r="C36" s="589"/>
      <c r="D36" s="589"/>
      <c r="E36" s="589"/>
      <c r="F36" s="589"/>
      <c r="G36" s="589"/>
      <c r="H36" s="257"/>
      <c r="I36" s="268" t="s">
        <v>409</v>
      </c>
      <c r="J36" s="251">
        <v>41394</v>
      </c>
      <c r="K36" s="279">
        <v>13.06</v>
      </c>
      <c r="L36" s="590" t="s">
        <v>363</v>
      </c>
      <c r="M36" s="589"/>
      <c r="N36" s="589"/>
      <c r="O36" s="589"/>
      <c r="P36" s="591"/>
      <c r="R36" s="254">
        <f t="shared" si="0"/>
        <v>14.828541666666668</v>
      </c>
      <c r="S36" s="255">
        <f t="shared" si="1"/>
        <v>0.54166666666666663</v>
      </c>
    </row>
    <row r="37" spans="1:19" ht="19.7" customHeight="1">
      <c r="A37" s="278" t="s">
        <v>418</v>
      </c>
      <c r="B37" s="589" t="s">
        <v>419</v>
      </c>
      <c r="C37" s="589"/>
      <c r="D37" s="589"/>
      <c r="E37" s="589"/>
      <c r="F37" s="589"/>
      <c r="G37" s="589"/>
      <c r="H37" s="251"/>
      <c r="I37" s="268" t="s">
        <v>409</v>
      </c>
      <c r="J37" s="251">
        <v>41235</v>
      </c>
      <c r="K37" s="279">
        <v>13.5</v>
      </c>
      <c r="L37" s="590" t="s">
        <v>363</v>
      </c>
      <c r="M37" s="589"/>
      <c r="N37" s="589"/>
      <c r="O37" s="589"/>
      <c r="P37" s="591"/>
      <c r="R37" s="254">
        <f t="shared" si="0"/>
        <v>16.809374999999999</v>
      </c>
      <c r="S37" s="255">
        <f t="shared" si="1"/>
        <v>0.98055555555555551</v>
      </c>
    </row>
    <row r="38" spans="1:19" ht="19.7" customHeight="1">
      <c r="A38" s="278" t="s">
        <v>420</v>
      </c>
      <c r="B38" s="589" t="s">
        <v>421</v>
      </c>
      <c r="C38" s="589"/>
      <c r="D38" s="589"/>
      <c r="E38" s="589"/>
      <c r="F38" s="589"/>
      <c r="G38" s="589"/>
      <c r="H38" s="251"/>
      <c r="I38" s="268" t="s">
        <v>3</v>
      </c>
      <c r="J38" s="251">
        <v>41518</v>
      </c>
      <c r="K38" s="279">
        <v>0.87</v>
      </c>
      <c r="L38" s="590" t="s">
        <v>382</v>
      </c>
      <c r="M38" s="589"/>
      <c r="N38" s="589"/>
      <c r="O38" s="589"/>
      <c r="P38" s="591"/>
      <c r="R38" s="254">
        <f t="shared" si="0"/>
        <v>0.91470833333333335</v>
      </c>
      <c r="S38" s="255">
        <f t="shared" si="1"/>
        <v>0.20555555555555555</v>
      </c>
    </row>
    <row r="39" spans="1:19" ht="19.7" customHeight="1">
      <c r="A39" s="278" t="s">
        <v>422</v>
      </c>
      <c r="B39" s="589" t="s">
        <v>423</v>
      </c>
      <c r="C39" s="589"/>
      <c r="D39" s="589"/>
      <c r="E39" s="589"/>
      <c r="F39" s="589"/>
      <c r="G39" s="589"/>
      <c r="H39" s="251" t="s">
        <v>408</v>
      </c>
      <c r="I39" s="268" t="s">
        <v>409</v>
      </c>
      <c r="J39" s="251">
        <v>41334</v>
      </c>
      <c r="K39" s="279">
        <v>8.4600000000000009</v>
      </c>
      <c r="L39" s="590" t="s">
        <v>356</v>
      </c>
      <c r="M39" s="589"/>
      <c r="N39" s="589"/>
      <c r="O39" s="589"/>
      <c r="P39" s="591"/>
      <c r="R39" s="254">
        <f t="shared" si="0"/>
        <v>9.9522500000000012</v>
      </c>
      <c r="S39" s="255">
        <f t="shared" si="1"/>
        <v>0.7055555555555556</v>
      </c>
    </row>
    <row r="40" spans="1:19" ht="19.7" customHeight="1">
      <c r="A40" s="278" t="s">
        <v>424</v>
      </c>
      <c r="B40" s="589" t="s">
        <v>425</v>
      </c>
      <c r="C40" s="589"/>
      <c r="D40" s="589"/>
      <c r="E40" s="589"/>
      <c r="F40" s="589"/>
      <c r="G40" s="589"/>
      <c r="H40" s="251" t="s">
        <v>408</v>
      </c>
      <c r="I40" s="268" t="s">
        <v>409</v>
      </c>
      <c r="J40" s="251">
        <v>41395</v>
      </c>
      <c r="K40" s="279">
        <f>(595.42/6)/10.6</f>
        <v>9.3619496855345918</v>
      </c>
      <c r="L40" s="590" t="s">
        <v>356</v>
      </c>
      <c r="M40" s="589"/>
      <c r="N40" s="589"/>
      <c r="O40" s="589"/>
      <c r="P40" s="591"/>
      <c r="R40" s="254">
        <f t="shared" si="0"/>
        <v>10.623212351502445</v>
      </c>
      <c r="S40" s="255">
        <f t="shared" si="1"/>
        <v>0.53888888888888886</v>
      </c>
    </row>
    <row r="41" spans="1:19" ht="19.7" customHeight="1">
      <c r="A41" s="278" t="s">
        <v>426</v>
      </c>
      <c r="B41" s="589" t="s">
        <v>427</v>
      </c>
      <c r="C41" s="589"/>
      <c r="D41" s="589"/>
      <c r="E41" s="589"/>
      <c r="F41" s="589"/>
      <c r="G41" s="589"/>
      <c r="H41" s="251"/>
      <c r="I41" s="268" t="s">
        <v>409</v>
      </c>
      <c r="J41" s="251">
        <v>41395</v>
      </c>
      <c r="K41" s="279">
        <v>9.8000000000000007</v>
      </c>
      <c r="L41" s="590" t="s">
        <v>356</v>
      </c>
      <c r="M41" s="589"/>
      <c r="N41" s="589"/>
      <c r="O41" s="589"/>
      <c r="P41" s="591"/>
      <c r="R41" s="254">
        <f t="shared" si="0"/>
        <v>11.120277777777778</v>
      </c>
      <c r="S41" s="255">
        <f t="shared" si="1"/>
        <v>0.53888888888888886</v>
      </c>
    </row>
    <row r="42" spans="1:19" ht="19.7" customHeight="1">
      <c r="A42" s="278" t="s">
        <v>428</v>
      </c>
      <c r="B42" s="589" t="s">
        <v>429</v>
      </c>
      <c r="C42" s="589"/>
      <c r="D42" s="589"/>
      <c r="E42" s="589"/>
      <c r="F42" s="589"/>
      <c r="G42" s="589"/>
      <c r="H42" s="251"/>
      <c r="I42" s="268" t="s">
        <v>4</v>
      </c>
      <c r="J42" s="251">
        <v>41334</v>
      </c>
      <c r="K42" s="279">
        <f>400/9</f>
        <v>44.444444444444443</v>
      </c>
      <c r="L42" s="590" t="s">
        <v>430</v>
      </c>
      <c r="M42" s="589"/>
      <c r="N42" s="589"/>
      <c r="O42" s="589"/>
      <c r="P42" s="591"/>
      <c r="R42" s="254">
        <f t="shared" si="0"/>
        <v>52.283950617283949</v>
      </c>
      <c r="S42" s="255">
        <f t="shared" si="1"/>
        <v>0.7055555555555556</v>
      </c>
    </row>
    <row r="43" spans="1:19" ht="19.7" customHeight="1">
      <c r="A43" s="278" t="s">
        <v>431</v>
      </c>
      <c r="B43" s="589" t="s">
        <v>432</v>
      </c>
      <c r="C43" s="589"/>
      <c r="D43" s="589"/>
      <c r="E43" s="589"/>
      <c r="F43" s="589"/>
      <c r="G43" s="589"/>
      <c r="H43" s="251"/>
      <c r="I43" s="268" t="s">
        <v>433</v>
      </c>
      <c r="J43" s="251">
        <v>41388</v>
      </c>
      <c r="K43" s="279">
        <v>93.22</v>
      </c>
      <c r="L43" s="590" t="s">
        <v>363</v>
      </c>
      <c r="M43" s="589"/>
      <c r="N43" s="589"/>
      <c r="O43" s="589"/>
      <c r="P43" s="591"/>
      <c r="R43" s="254">
        <f t="shared" si="0"/>
        <v>106.23195833333334</v>
      </c>
      <c r="S43" s="255">
        <f t="shared" si="1"/>
        <v>0.55833333333333335</v>
      </c>
    </row>
    <row r="44" spans="1:19" ht="19.7" customHeight="1">
      <c r="A44" s="278" t="s">
        <v>434</v>
      </c>
      <c r="B44" s="589" t="s">
        <v>435</v>
      </c>
      <c r="C44" s="589"/>
      <c r="D44" s="589"/>
      <c r="E44" s="589"/>
      <c r="F44" s="589"/>
      <c r="G44" s="589"/>
      <c r="H44" s="251"/>
      <c r="I44" s="268" t="s">
        <v>433</v>
      </c>
      <c r="J44" s="251">
        <v>41388</v>
      </c>
      <c r="K44" s="279">
        <v>126.94</v>
      </c>
      <c r="L44" s="590" t="s">
        <v>363</v>
      </c>
      <c r="M44" s="589"/>
      <c r="N44" s="589"/>
      <c r="O44" s="589"/>
      <c r="P44" s="591"/>
      <c r="R44" s="254">
        <f t="shared" si="0"/>
        <v>144.65870833333335</v>
      </c>
      <c r="S44" s="255">
        <f t="shared" si="1"/>
        <v>0.55833333333333335</v>
      </c>
    </row>
    <row r="45" spans="1:19" ht="19.7" customHeight="1">
      <c r="A45" s="278" t="s">
        <v>436</v>
      </c>
      <c r="B45" s="589" t="s">
        <v>437</v>
      </c>
      <c r="C45" s="589"/>
      <c r="D45" s="589"/>
      <c r="E45" s="589"/>
      <c r="F45" s="589"/>
      <c r="G45" s="589"/>
      <c r="H45" s="251"/>
      <c r="I45" s="268" t="s">
        <v>433</v>
      </c>
      <c r="J45" s="251">
        <v>41334</v>
      </c>
      <c r="K45" s="279">
        <v>264.18</v>
      </c>
      <c r="L45" s="590" t="s">
        <v>356</v>
      </c>
      <c r="M45" s="589"/>
      <c r="N45" s="589"/>
      <c r="O45" s="589"/>
      <c r="P45" s="591"/>
      <c r="R45" s="254">
        <f t="shared" si="0"/>
        <v>310.77841666666666</v>
      </c>
      <c r="S45" s="255">
        <f t="shared" si="1"/>
        <v>0.7055555555555556</v>
      </c>
    </row>
    <row r="46" spans="1:19" ht="19.7" customHeight="1">
      <c r="A46" s="278" t="s">
        <v>438</v>
      </c>
      <c r="B46" s="589" t="s">
        <v>439</v>
      </c>
      <c r="C46" s="589"/>
      <c r="D46" s="589"/>
      <c r="E46" s="589"/>
      <c r="F46" s="589"/>
      <c r="G46" s="589"/>
      <c r="H46" s="251"/>
      <c r="I46" s="268" t="s">
        <v>409</v>
      </c>
      <c r="J46" s="251">
        <v>41518</v>
      </c>
      <c r="K46" s="279">
        <v>53</v>
      </c>
      <c r="L46" s="590" t="s">
        <v>382</v>
      </c>
      <c r="M46" s="589"/>
      <c r="N46" s="589"/>
      <c r="O46" s="589"/>
      <c r="P46" s="591"/>
      <c r="R46" s="254">
        <f t="shared" si="0"/>
        <v>55.723611111111111</v>
      </c>
      <c r="S46" s="255">
        <f t="shared" si="1"/>
        <v>0.20555555555555555</v>
      </c>
    </row>
    <row r="47" spans="1:19" ht="19.7" customHeight="1">
      <c r="A47" s="278" t="s">
        <v>440</v>
      </c>
      <c r="B47" s="589" t="s">
        <v>441</v>
      </c>
      <c r="C47" s="589"/>
      <c r="D47" s="589"/>
      <c r="E47" s="589"/>
      <c r="F47" s="589"/>
      <c r="G47" s="589"/>
      <c r="H47" s="251"/>
      <c r="I47" s="268" t="s">
        <v>442</v>
      </c>
      <c r="J47" s="251">
        <v>41548</v>
      </c>
      <c r="K47" s="279">
        <f>491.29/(3*1.5)</f>
        <v>109.17555555555556</v>
      </c>
      <c r="L47" s="590" t="s">
        <v>382</v>
      </c>
      <c r="M47" s="589"/>
      <c r="N47" s="589"/>
      <c r="O47" s="589"/>
      <c r="P47" s="591"/>
      <c r="R47" s="254">
        <f t="shared" si="0"/>
        <v>112.51147530864198</v>
      </c>
      <c r="S47" s="255">
        <f t="shared" si="1"/>
        <v>0.12222222222222222</v>
      </c>
    </row>
    <row r="48" spans="1:19" ht="19.7" customHeight="1">
      <c r="A48" s="259"/>
      <c r="B48" s="592"/>
      <c r="C48" s="592"/>
      <c r="D48" s="592"/>
      <c r="E48" s="592"/>
      <c r="F48" s="592"/>
      <c r="G48" s="592"/>
      <c r="H48" s="260"/>
      <c r="I48" s="280"/>
      <c r="J48" s="260"/>
      <c r="K48" s="281"/>
      <c r="L48" s="282"/>
      <c r="M48" s="283"/>
      <c r="N48" s="283"/>
      <c r="O48" s="283"/>
      <c r="P48" s="284"/>
      <c r="R48" s="254" t="str">
        <f t="shared" si="0"/>
        <v/>
      </c>
      <c r="S48" s="255" t="str">
        <f t="shared" si="1"/>
        <v/>
      </c>
    </row>
    <row r="49" spans="1:19" ht="19.7" customHeight="1">
      <c r="A49" s="234" t="s">
        <v>443</v>
      </c>
      <c r="B49" s="235" t="s">
        <v>444</v>
      </c>
      <c r="C49" s="235"/>
      <c r="D49" s="235"/>
      <c r="E49" s="235"/>
      <c r="F49" s="235"/>
      <c r="G49" s="235"/>
      <c r="H49" s="236"/>
      <c r="I49" s="236"/>
      <c r="J49" s="237"/>
      <c r="K49" s="275"/>
      <c r="L49" s="239"/>
      <c r="M49" s="239"/>
      <c r="N49" s="239"/>
      <c r="O49" s="239"/>
      <c r="P49" s="240"/>
      <c r="R49" s="254" t="str">
        <f t="shared" si="0"/>
        <v/>
      </c>
      <c r="S49" s="255" t="str">
        <f t="shared" si="1"/>
        <v/>
      </c>
    </row>
    <row r="50" spans="1:19" ht="19.7" customHeight="1">
      <c r="A50" s="276" t="s">
        <v>122</v>
      </c>
      <c r="B50" s="586" t="s">
        <v>445</v>
      </c>
      <c r="C50" s="586"/>
      <c r="D50" s="586"/>
      <c r="E50" s="586"/>
      <c r="F50" s="586"/>
      <c r="G50" s="586"/>
      <c r="H50" s="285"/>
      <c r="I50" s="265" t="s">
        <v>386</v>
      </c>
      <c r="J50" s="243">
        <v>41444</v>
      </c>
      <c r="K50" s="266">
        <v>49.57</v>
      </c>
      <c r="L50" s="587" t="s">
        <v>446</v>
      </c>
      <c r="M50" s="586"/>
      <c r="N50" s="586"/>
      <c r="O50" s="586"/>
      <c r="P50" s="588"/>
      <c r="R50" s="254">
        <f t="shared" si="0"/>
        <v>54.595847222222226</v>
      </c>
      <c r="S50" s="255">
        <f t="shared" si="1"/>
        <v>0.40555555555555556</v>
      </c>
    </row>
    <row r="51" spans="1:19" ht="19.7" customHeight="1">
      <c r="A51" s="278" t="s">
        <v>124</v>
      </c>
      <c r="B51" s="589" t="s">
        <v>447</v>
      </c>
      <c r="C51" s="589"/>
      <c r="D51" s="589"/>
      <c r="E51" s="589"/>
      <c r="F51" s="589"/>
      <c r="G51" s="589"/>
      <c r="H51" s="267"/>
      <c r="I51" s="268" t="s">
        <v>386</v>
      </c>
      <c r="J51" s="251">
        <v>41334</v>
      </c>
      <c r="K51" s="269">
        <v>70</v>
      </c>
      <c r="L51" s="590" t="s">
        <v>446</v>
      </c>
      <c r="M51" s="589"/>
      <c r="N51" s="589"/>
      <c r="O51" s="589"/>
      <c r="P51" s="591"/>
      <c r="R51" s="254">
        <f t="shared" si="0"/>
        <v>82.347222222222229</v>
      </c>
      <c r="S51" s="255">
        <f t="shared" si="1"/>
        <v>0.7055555555555556</v>
      </c>
    </row>
    <row r="52" spans="1:19" ht="19.7" customHeight="1">
      <c r="A52" s="278" t="s">
        <v>448</v>
      </c>
      <c r="B52" s="589" t="s">
        <v>449</v>
      </c>
      <c r="C52" s="589"/>
      <c r="D52" s="589"/>
      <c r="E52" s="589"/>
      <c r="F52" s="589"/>
      <c r="G52" s="589"/>
      <c r="H52" s="267"/>
      <c r="I52" s="268" t="s">
        <v>433</v>
      </c>
      <c r="J52" s="251">
        <v>41358</v>
      </c>
      <c r="K52" s="269">
        <v>156.37</v>
      </c>
      <c r="L52" s="590" t="s">
        <v>363</v>
      </c>
      <c r="M52" s="589"/>
      <c r="N52" s="589"/>
      <c r="O52" s="589"/>
      <c r="P52" s="591"/>
      <c r="R52" s="254">
        <f t="shared" si="0"/>
        <v>181.34576388888891</v>
      </c>
      <c r="S52" s="255">
        <f t="shared" si="1"/>
        <v>0.63888888888888884</v>
      </c>
    </row>
    <row r="53" spans="1:19" ht="19.7" customHeight="1">
      <c r="A53" s="278" t="s">
        <v>450</v>
      </c>
      <c r="B53" s="589" t="s">
        <v>451</v>
      </c>
      <c r="C53" s="589"/>
      <c r="D53" s="589"/>
      <c r="E53" s="589"/>
      <c r="F53" s="589"/>
      <c r="G53" s="589"/>
      <c r="H53" s="267"/>
      <c r="I53" s="268" t="s">
        <v>4</v>
      </c>
      <c r="J53" s="251">
        <v>41334</v>
      </c>
      <c r="K53" s="269">
        <v>81.099999999999994</v>
      </c>
      <c r="L53" s="590" t="s">
        <v>356</v>
      </c>
      <c r="M53" s="589"/>
      <c r="N53" s="589"/>
      <c r="O53" s="589"/>
      <c r="P53" s="591"/>
      <c r="R53" s="254">
        <f t="shared" si="0"/>
        <v>95.405138888888885</v>
      </c>
      <c r="S53" s="255">
        <f t="shared" si="1"/>
        <v>0.7055555555555556</v>
      </c>
    </row>
    <row r="54" spans="1:19" ht="19.7" customHeight="1">
      <c r="A54" s="278" t="s">
        <v>452</v>
      </c>
      <c r="B54" s="589" t="s">
        <v>453</v>
      </c>
      <c r="C54" s="589"/>
      <c r="D54" s="589"/>
      <c r="E54" s="589"/>
      <c r="F54" s="589"/>
      <c r="G54" s="589"/>
      <c r="H54" s="267" t="s">
        <v>454</v>
      </c>
      <c r="I54" s="268" t="s">
        <v>442</v>
      </c>
      <c r="J54" s="251">
        <v>41506</v>
      </c>
      <c r="K54" s="269">
        <v>71.91</v>
      </c>
      <c r="L54" s="590" t="s">
        <v>446</v>
      </c>
      <c r="M54" s="589"/>
      <c r="N54" s="589"/>
      <c r="O54" s="589"/>
      <c r="P54" s="591"/>
      <c r="R54" s="254">
        <f t="shared" si="0"/>
        <v>76.154687499999994</v>
      </c>
      <c r="S54" s="255">
        <f t="shared" si="1"/>
        <v>0.2361111111111111</v>
      </c>
    </row>
    <row r="55" spans="1:19" ht="19.7" customHeight="1">
      <c r="A55" s="278"/>
      <c r="B55" s="589"/>
      <c r="C55" s="589"/>
      <c r="D55" s="589"/>
      <c r="E55" s="589"/>
      <c r="F55" s="589"/>
      <c r="G55" s="589"/>
      <c r="H55" s="267"/>
      <c r="I55" s="268"/>
      <c r="J55" s="251"/>
      <c r="K55" s="269"/>
      <c r="L55" s="598"/>
      <c r="M55" s="599"/>
      <c r="N55" s="599"/>
      <c r="O55" s="599"/>
      <c r="P55" s="600"/>
      <c r="R55" s="254" t="str">
        <f t="shared" si="0"/>
        <v/>
      </c>
      <c r="S55" s="255" t="str">
        <f t="shared" si="1"/>
        <v/>
      </c>
    </row>
    <row r="56" spans="1:19" ht="19.7" customHeight="1">
      <c r="A56" s="278"/>
      <c r="B56" s="589"/>
      <c r="C56" s="589"/>
      <c r="D56" s="589"/>
      <c r="E56" s="589"/>
      <c r="F56" s="589"/>
      <c r="G56" s="589"/>
      <c r="H56" s="267"/>
      <c r="I56" s="268"/>
      <c r="J56" s="251"/>
      <c r="K56" s="269"/>
      <c r="L56" s="598"/>
      <c r="M56" s="599"/>
      <c r="N56" s="599"/>
      <c r="O56" s="599"/>
      <c r="P56" s="600"/>
      <c r="R56" s="254" t="str">
        <f t="shared" si="0"/>
        <v/>
      </c>
      <c r="S56" s="255" t="str">
        <f t="shared" si="1"/>
        <v/>
      </c>
    </row>
    <row r="57" spans="1:19" ht="19.7" customHeight="1">
      <c r="A57" s="259"/>
      <c r="B57" s="592"/>
      <c r="C57" s="592"/>
      <c r="D57" s="592"/>
      <c r="E57" s="592"/>
      <c r="F57" s="592"/>
      <c r="G57" s="592"/>
      <c r="H57" s="271"/>
      <c r="I57" s="280"/>
      <c r="J57" s="260"/>
      <c r="K57" s="274"/>
      <c r="L57" s="601"/>
      <c r="M57" s="602"/>
      <c r="N57" s="602"/>
      <c r="O57" s="602"/>
      <c r="P57" s="603"/>
      <c r="R57" s="254" t="str">
        <f t="shared" si="0"/>
        <v/>
      </c>
      <c r="S57" s="255" t="str">
        <f t="shared" si="1"/>
        <v/>
      </c>
    </row>
    <row r="58" spans="1:19" ht="19.7" customHeight="1">
      <c r="A58" s="234" t="s">
        <v>455</v>
      </c>
      <c r="B58" s="235" t="s">
        <v>456</v>
      </c>
      <c r="C58" s="235"/>
      <c r="D58" s="235"/>
      <c r="E58" s="235"/>
      <c r="F58" s="235"/>
      <c r="G58" s="235"/>
      <c r="H58" s="236"/>
      <c r="I58" s="236"/>
      <c r="J58" s="237"/>
      <c r="K58" s="275"/>
      <c r="L58" s="239"/>
      <c r="M58" s="239"/>
      <c r="N58" s="239"/>
      <c r="O58" s="239"/>
      <c r="P58" s="240"/>
      <c r="R58" s="254" t="str">
        <f t="shared" si="0"/>
        <v/>
      </c>
      <c r="S58" s="255" t="str">
        <f t="shared" si="1"/>
        <v/>
      </c>
    </row>
    <row r="59" spans="1:19" ht="19.7" customHeight="1">
      <c r="A59" s="276" t="s">
        <v>127</v>
      </c>
      <c r="B59" s="587" t="s">
        <v>457</v>
      </c>
      <c r="C59" s="586"/>
      <c r="D59" s="586"/>
      <c r="E59" s="586"/>
      <c r="F59" s="586"/>
      <c r="G59" s="588"/>
      <c r="H59" s="243"/>
      <c r="I59" s="244" t="s">
        <v>3</v>
      </c>
      <c r="J59" s="243">
        <v>41003</v>
      </c>
      <c r="K59" s="266">
        <f>2/1.21</f>
        <v>1.6528925619834711</v>
      </c>
      <c r="L59" s="587" t="s">
        <v>458</v>
      </c>
      <c r="M59" s="586"/>
      <c r="N59" s="586"/>
      <c r="O59" s="586"/>
      <c r="P59" s="588"/>
      <c r="R59" s="254">
        <f t="shared" si="0"/>
        <v>2.3197887970615243</v>
      </c>
      <c r="S59" s="255">
        <f t="shared" si="1"/>
        <v>1.6138888888888889</v>
      </c>
    </row>
    <row r="60" spans="1:19" ht="19.7" customHeight="1">
      <c r="A60" s="278" t="s">
        <v>459</v>
      </c>
      <c r="B60" s="590" t="s">
        <v>460</v>
      </c>
      <c r="C60" s="589"/>
      <c r="D60" s="589"/>
      <c r="E60" s="589"/>
      <c r="F60" s="589"/>
      <c r="G60" s="591"/>
      <c r="H60" s="251" t="s">
        <v>461</v>
      </c>
      <c r="I60" s="252" t="s">
        <v>3</v>
      </c>
      <c r="J60" s="251">
        <v>41382</v>
      </c>
      <c r="K60" s="269">
        <v>4.12</v>
      </c>
      <c r="L60" s="590" t="s">
        <v>363</v>
      </c>
      <c r="M60" s="589"/>
      <c r="N60" s="589"/>
      <c r="O60" s="589"/>
      <c r="P60" s="591"/>
      <c r="R60" s="254">
        <f t="shared" si="0"/>
        <v>4.71225</v>
      </c>
      <c r="S60" s="255">
        <f t="shared" si="1"/>
        <v>0.57499999999999996</v>
      </c>
    </row>
    <row r="61" spans="1:19" ht="19.7" customHeight="1">
      <c r="A61" s="278" t="s">
        <v>462</v>
      </c>
      <c r="B61" s="590" t="s">
        <v>463</v>
      </c>
      <c r="C61" s="589"/>
      <c r="D61" s="589"/>
      <c r="E61" s="589"/>
      <c r="F61" s="589"/>
      <c r="G61" s="591"/>
      <c r="H61" s="251" t="s">
        <v>461</v>
      </c>
      <c r="I61" s="252" t="s">
        <v>3</v>
      </c>
      <c r="J61" s="251">
        <v>41382</v>
      </c>
      <c r="K61" s="269">
        <v>4.6900000000000004</v>
      </c>
      <c r="L61" s="590" t="s">
        <v>363</v>
      </c>
      <c r="M61" s="589"/>
      <c r="N61" s="589"/>
      <c r="O61" s="589"/>
      <c r="P61" s="591"/>
      <c r="R61" s="254">
        <f t="shared" si="0"/>
        <v>5.3641875000000008</v>
      </c>
      <c r="S61" s="255">
        <f t="shared" si="1"/>
        <v>0.57499999999999996</v>
      </c>
    </row>
    <row r="62" spans="1:19" ht="19.7" customHeight="1">
      <c r="A62" s="278" t="s">
        <v>464</v>
      </c>
      <c r="B62" s="590" t="s">
        <v>465</v>
      </c>
      <c r="C62" s="589"/>
      <c r="D62" s="589"/>
      <c r="E62" s="589"/>
      <c r="F62" s="589"/>
      <c r="G62" s="591"/>
      <c r="H62" s="251" t="s">
        <v>461</v>
      </c>
      <c r="I62" s="252" t="s">
        <v>3</v>
      </c>
      <c r="J62" s="251">
        <v>41229</v>
      </c>
      <c r="K62" s="269">
        <v>6.45</v>
      </c>
      <c r="L62" s="590" t="s">
        <v>363</v>
      </c>
      <c r="M62" s="589"/>
      <c r="N62" s="589"/>
      <c r="O62" s="589"/>
      <c r="P62" s="591"/>
      <c r="R62" s="254">
        <f t="shared" si="0"/>
        <v>8.0580208333333321</v>
      </c>
      <c r="S62" s="255">
        <f t="shared" si="1"/>
        <v>0.99722222222222223</v>
      </c>
    </row>
    <row r="63" spans="1:19" ht="19.7" customHeight="1">
      <c r="A63" s="278" t="s">
        <v>466</v>
      </c>
      <c r="B63" s="590" t="s">
        <v>467</v>
      </c>
      <c r="C63" s="589"/>
      <c r="D63" s="589"/>
      <c r="E63" s="589"/>
      <c r="F63" s="589"/>
      <c r="G63" s="591"/>
      <c r="H63" s="251" t="s">
        <v>461</v>
      </c>
      <c r="I63" s="252" t="s">
        <v>3</v>
      </c>
      <c r="J63" s="251">
        <v>41388</v>
      </c>
      <c r="K63" s="269">
        <v>14.88</v>
      </c>
      <c r="L63" s="590" t="s">
        <v>468</v>
      </c>
      <c r="M63" s="589"/>
      <c r="N63" s="589"/>
      <c r="O63" s="589"/>
      <c r="P63" s="591"/>
      <c r="R63" s="254">
        <f t="shared" si="0"/>
        <v>16.957000000000001</v>
      </c>
      <c r="S63" s="255">
        <f t="shared" si="1"/>
        <v>0.55833333333333335</v>
      </c>
    </row>
    <row r="64" spans="1:19" ht="19.7" customHeight="1">
      <c r="A64" s="278"/>
      <c r="B64" s="590"/>
      <c r="C64" s="589"/>
      <c r="D64" s="589"/>
      <c r="E64" s="589"/>
      <c r="F64" s="589"/>
      <c r="G64" s="591"/>
      <c r="H64" s="251"/>
      <c r="I64" s="252"/>
      <c r="J64" s="251"/>
      <c r="K64" s="269"/>
      <c r="L64" s="598"/>
      <c r="M64" s="599"/>
      <c r="N64" s="599"/>
      <c r="O64" s="599"/>
      <c r="P64" s="600"/>
      <c r="R64" s="254" t="str">
        <f t="shared" si="0"/>
        <v/>
      </c>
      <c r="S64" s="255" t="str">
        <f t="shared" si="1"/>
        <v/>
      </c>
    </row>
    <row r="65" spans="1:19" ht="19.7" customHeight="1">
      <c r="A65" s="278"/>
      <c r="B65" s="590"/>
      <c r="C65" s="589"/>
      <c r="D65" s="589"/>
      <c r="E65" s="589"/>
      <c r="F65" s="589"/>
      <c r="G65" s="591"/>
      <c r="H65" s="251"/>
      <c r="I65" s="252"/>
      <c r="J65" s="251"/>
      <c r="K65" s="269"/>
      <c r="L65" s="598"/>
      <c r="M65" s="599"/>
      <c r="N65" s="599"/>
      <c r="O65" s="599"/>
      <c r="P65" s="600"/>
      <c r="R65" s="254" t="str">
        <f t="shared" si="0"/>
        <v/>
      </c>
      <c r="S65" s="255" t="str">
        <f t="shared" si="1"/>
        <v/>
      </c>
    </row>
    <row r="66" spans="1:19" ht="19.7" customHeight="1">
      <c r="A66" s="259"/>
      <c r="B66" s="593"/>
      <c r="C66" s="592"/>
      <c r="D66" s="592"/>
      <c r="E66" s="592"/>
      <c r="F66" s="592"/>
      <c r="G66" s="594"/>
      <c r="H66" s="273"/>
      <c r="I66" s="286"/>
      <c r="J66" s="273"/>
      <c r="K66" s="274"/>
      <c r="L66" s="601"/>
      <c r="M66" s="602"/>
      <c r="N66" s="602"/>
      <c r="O66" s="602"/>
      <c r="P66" s="603"/>
      <c r="R66" s="254" t="str">
        <f t="shared" si="0"/>
        <v/>
      </c>
      <c r="S66" s="255" t="str">
        <f t="shared" si="1"/>
        <v/>
      </c>
    </row>
    <row r="67" spans="1:19" ht="19.7" customHeight="1">
      <c r="A67" s="234" t="s">
        <v>469</v>
      </c>
      <c r="B67" s="235" t="s">
        <v>470</v>
      </c>
      <c r="C67" s="235"/>
      <c r="D67" s="235"/>
      <c r="E67" s="235"/>
      <c r="F67" s="235"/>
      <c r="G67" s="235"/>
      <c r="H67" s="236"/>
      <c r="I67" s="236"/>
      <c r="J67" s="237"/>
      <c r="K67" s="275"/>
      <c r="L67" s="239"/>
      <c r="M67" s="239"/>
      <c r="N67" s="239"/>
      <c r="O67" s="239"/>
      <c r="P67" s="240"/>
      <c r="R67" s="254" t="str">
        <f t="shared" si="0"/>
        <v/>
      </c>
      <c r="S67" s="255" t="str">
        <f t="shared" si="1"/>
        <v/>
      </c>
    </row>
    <row r="68" spans="1:19" ht="19.7" customHeight="1">
      <c r="A68" s="242" t="s">
        <v>129</v>
      </c>
      <c r="B68" s="586" t="s">
        <v>471</v>
      </c>
      <c r="C68" s="586"/>
      <c r="D68" s="586"/>
      <c r="E68" s="586"/>
      <c r="F68" s="586"/>
      <c r="G68" s="586"/>
      <c r="H68" s="243" t="s">
        <v>472</v>
      </c>
      <c r="I68" s="244" t="s">
        <v>442</v>
      </c>
      <c r="J68" s="243">
        <v>41353</v>
      </c>
      <c r="K68" s="266">
        <v>21.38</v>
      </c>
      <c r="L68" s="587" t="s">
        <v>363</v>
      </c>
      <c r="M68" s="586"/>
      <c r="N68" s="586"/>
      <c r="O68" s="586"/>
      <c r="P68" s="588"/>
      <c r="R68" s="254">
        <f t="shared" si="0"/>
        <v>24.869097222222219</v>
      </c>
      <c r="S68" s="255">
        <f t="shared" si="1"/>
        <v>0.65277777777777779</v>
      </c>
    </row>
    <row r="69" spans="1:19" ht="19.7" customHeight="1">
      <c r="A69" s="250" t="s">
        <v>130</v>
      </c>
      <c r="B69" s="589" t="s">
        <v>473</v>
      </c>
      <c r="C69" s="589"/>
      <c r="D69" s="589"/>
      <c r="E69" s="589"/>
      <c r="F69" s="589"/>
      <c r="G69" s="589"/>
      <c r="H69" s="251" t="s">
        <v>472</v>
      </c>
      <c r="I69" s="252" t="s">
        <v>442</v>
      </c>
      <c r="J69" s="251">
        <v>41394</v>
      </c>
      <c r="K69" s="269">
        <v>22.9</v>
      </c>
      <c r="L69" s="590" t="s">
        <v>363</v>
      </c>
      <c r="M69" s="589"/>
      <c r="N69" s="589"/>
      <c r="O69" s="589"/>
      <c r="P69" s="591"/>
      <c r="R69" s="254">
        <f t="shared" si="0"/>
        <v>26.001041666666666</v>
      </c>
      <c r="S69" s="255">
        <f t="shared" si="1"/>
        <v>0.54166666666666663</v>
      </c>
    </row>
    <row r="70" spans="1:19" ht="19.7" customHeight="1">
      <c r="A70" s="250" t="s">
        <v>131</v>
      </c>
      <c r="B70" s="589" t="s">
        <v>474</v>
      </c>
      <c r="C70" s="589"/>
      <c r="D70" s="589"/>
      <c r="E70" s="589"/>
      <c r="F70" s="589"/>
      <c r="G70" s="589"/>
      <c r="H70" s="251" t="s">
        <v>472</v>
      </c>
      <c r="I70" s="252" t="s">
        <v>362</v>
      </c>
      <c r="J70" s="251">
        <v>41388</v>
      </c>
      <c r="K70" s="269">
        <v>5.63</v>
      </c>
      <c r="L70" s="590" t="s">
        <v>363</v>
      </c>
      <c r="M70" s="589"/>
      <c r="N70" s="589"/>
      <c r="O70" s="589"/>
      <c r="P70" s="591"/>
      <c r="R70" s="254">
        <f t="shared" si="0"/>
        <v>6.4158541666666666</v>
      </c>
      <c r="S70" s="255">
        <f t="shared" si="1"/>
        <v>0.55833333333333335</v>
      </c>
    </row>
    <row r="71" spans="1:19" ht="19.7" customHeight="1">
      <c r="A71" s="250" t="s">
        <v>475</v>
      </c>
      <c r="B71" s="589" t="s">
        <v>476</v>
      </c>
      <c r="C71" s="589"/>
      <c r="D71" s="589"/>
      <c r="E71" s="589"/>
      <c r="F71" s="589"/>
      <c r="G71" s="589"/>
      <c r="H71" s="251" t="s">
        <v>472</v>
      </c>
      <c r="I71" s="252" t="s">
        <v>4</v>
      </c>
      <c r="J71" s="251">
        <v>41353</v>
      </c>
      <c r="K71" s="269">
        <v>4.4000000000000004</v>
      </c>
      <c r="L71" s="590" t="s">
        <v>446</v>
      </c>
      <c r="M71" s="589"/>
      <c r="N71" s="589"/>
      <c r="O71" s="589"/>
      <c r="P71" s="591"/>
      <c r="R71" s="254">
        <f t="shared" si="0"/>
        <v>5.1180555555555562</v>
      </c>
      <c r="S71" s="255">
        <f t="shared" si="1"/>
        <v>0.65277777777777779</v>
      </c>
    </row>
    <row r="72" spans="1:19" ht="19.7" customHeight="1">
      <c r="A72" s="250" t="s">
        <v>477</v>
      </c>
      <c r="B72" s="589" t="s">
        <v>478</v>
      </c>
      <c r="C72" s="589"/>
      <c r="D72" s="589"/>
      <c r="E72" s="589"/>
      <c r="F72" s="589"/>
      <c r="G72" s="589"/>
      <c r="H72" s="251" t="s">
        <v>472</v>
      </c>
      <c r="I72" s="252" t="s">
        <v>4</v>
      </c>
      <c r="J72" s="251">
        <v>41353</v>
      </c>
      <c r="K72" s="269">
        <v>4.92</v>
      </c>
      <c r="L72" s="590" t="s">
        <v>446</v>
      </c>
      <c r="M72" s="589"/>
      <c r="N72" s="589"/>
      <c r="O72" s="589"/>
      <c r="P72" s="591"/>
      <c r="R72" s="254">
        <f t="shared" si="0"/>
        <v>5.7229166666666664</v>
      </c>
      <c r="S72" s="255">
        <f t="shared" si="1"/>
        <v>0.65277777777777779</v>
      </c>
    </row>
    <row r="73" spans="1:19" ht="19.7" customHeight="1">
      <c r="A73" s="250" t="s">
        <v>479</v>
      </c>
      <c r="B73" s="589" t="s">
        <v>480</v>
      </c>
      <c r="C73" s="589"/>
      <c r="D73" s="589"/>
      <c r="E73" s="589"/>
      <c r="F73" s="589"/>
      <c r="G73" s="589"/>
      <c r="H73" s="251" t="s">
        <v>472</v>
      </c>
      <c r="I73" s="252" t="s">
        <v>4</v>
      </c>
      <c r="J73" s="251">
        <v>41353</v>
      </c>
      <c r="K73" s="269">
        <v>0.3</v>
      </c>
      <c r="L73" s="590" t="s">
        <v>446</v>
      </c>
      <c r="M73" s="589"/>
      <c r="N73" s="589"/>
      <c r="O73" s="589"/>
      <c r="P73" s="591"/>
      <c r="R73" s="254">
        <f t="shared" si="0"/>
        <v>0.34895833333333331</v>
      </c>
      <c r="S73" s="255">
        <f t="shared" si="1"/>
        <v>0.65277777777777779</v>
      </c>
    </row>
    <row r="74" spans="1:19" ht="19.7" customHeight="1">
      <c r="A74" s="250" t="s">
        <v>481</v>
      </c>
      <c r="B74" s="589" t="s">
        <v>482</v>
      </c>
      <c r="C74" s="589"/>
      <c r="D74" s="589"/>
      <c r="E74" s="589"/>
      <c r="F74" s="589"/>
      <c r="G74" s="589"/>
      <c r="H74" s="251" t="s">
        <v>472</v>
      </c>
      <c r="I74" s="252" t="s">
        <v>433</v>
      </c>
      <c r="J74" s="251">
        <v>41353</v>
      </c>
      <c r="K74" s="269">
        <v>0.13</v>
      </c>
      <c r="L74" s="590" t="s">
        <v>446</v>
      </c>
      <c r="M74" s="589"/>
      <c r="N74" s="589"/>
      <c r="O74" s="589"/>
      <c r="P74" s="591"/>
      <c r="R74" s="254">
        <f t="shared" si="0"/>
        <v>0.15121527777777777</v>
      </c>
      <c r="S74" s="255">
        <f t="shared" si="1"/>
        <v>0.65277777777777779</v>
      </c>
    </row>
    <row r="75" spans="1:19" ht="19.7" customHeight="1">
      <c r="A75" s="250" t="s">
        <v>483</v>
      </c>
      <c r="B75" s="589" t="s">
        <v>484</v>
      </c>
      <c r="C75" s="589"/>
      <c r="D75" s="589"/>
      <c r="E75" s="589"/>
      <c r="F75" s="589"/>
      <c r="G75" s="589"/>
      <c r="H75" s="251" t="s">
        <v>472</v>
      </c>
      <c r="I75" s="252" t="s">
        <v>433</v>
      </c>
      <c r="J75" s="251">
        <v>41353</v>
      </c>
      <c r="K75" s="269">
        <v>0.1</v>
      </c>
      <c r="L75" s="590" t="s">
        <v>446</v>
      </c>
      <c r="M75" s="589"/>
      <c r="N75" s="589"/>
      <c r="O75" s="589"/>
      <c r="P75" s="591"/>
      <c r="R75" s="254">
        <f t="shared" si="0"/>
        <v>0.11631944444444445</v>
      </c>
      <c r="S75" s="255">
        <f t="shared" si="1"/>
        <v>0.65277777777777779</v>
      </c>
    </row>
    <row r="76" spans="1:19" ht="19.7" customHeight="1">
      <c r="A76" s="278"/>
      <c r="B76" s="589"/>
      <c r="C76" s="589"/>
      <c r="D76" s="589"/>
      <c r="E76" s="589"/>
      <c r="F76" s="589"/>
      <c r="G76" s="589"/>
      <c r="H76" s="251"/>
      <c r="I76" s="252"/>
      <c r="J76" s="251"/>
      <c r="K76" s="269"/>
      <c r="L76" s="598"/>
      <c r="M76" s="599"/>
      <c r="N76" s="599"/>
      <c r="O76" s="599"/>
      <c r="P76" s="600"/>
      <c r="R76" s="254" t="str">
        <f t="shared" ref="R76:R156" si="2">IF(J76&gt;0, K76*(1+(T$2/100)*S76), "")</f>
        <v/>
      </c>
      <c r="S76" s="255" t="str">
        <f t="shared" ref="S76:S156" si="3">IF(K76&gt;0, DAYS360(J76,T$3)/360, "")</f>
        <v/>
      </c>
    </row>
    <row r="77" spans="1:19" ht="19.7" customHeight="1">
      <c r="A77" s="278"/>
      <c r="B77" s="589"/>
      <c r="C77" s="589"/>
      <c r="D77" s="589"/>
      <c r="E77" s="589"/>
      <c r="F77" s="589"/>
      <c r="G77" s="589"/>
      <c r="H77" s="251"/>
      <c r="I77" s="252"/>
      <c r="J77" s="251"/>
      <c r="K77" s="269"/>
      <c r="L77" s="598"/>
      <c r="M77" s="599"/>
      <c r="N77" s="599"/>
      <c r="O77" s="599"/>
      <c r="P77" s="600"/>
      <c r="R77" s="254" t="str">
        <f t="shared" si="2"/>
        <v/>
      </c>
      <c r="S77" s="255" t="str">
        <f t="shared" si="3"/>
        <v/>
      </c>
    </row>
    <row r="78" spans="1:19" ht="19.7" customHeight="1">
      <c r="A78" s="259"/>
      <c r="B78" s="592"/>
      <c r="C78" s="592"/>
      <c r="D78" s="592"/>
      <c r="E78" s="592"/>
      <c r="F78" s="592"/>
      <c r="G78" s="592"/>
      <c r="H78" s="273"/>
      <c r="I78" s="286"/>
      <c r="J78" s="273"/>
      <c r="K78" s="274"/>
      <c r="L78" s="601"/>
      <c r="M78" s="602"/>
      <c r="N78" s="602"/>
      <c r="O78" s="602"/>
      <c r="P78" s="603"/>
      <c r="R78" s="254" t="str">
        <f t="shared" si="2"/>
        <v/>
      </c>
      <c r="S78" s="255" t="str">
        <f t="shared" si="3"/>
        <v/>
      </c>
    </row>
    <row r="79" spans="1:19" ht="19.7" customHeight="1">
      <c r="A79" s="234" t="s">
        <v>485</v>
      </c>
      <c r="B79" s="235" t="s">
        <v>486</v>
      </c>
      <c r="C79" s="235"/>
      <c r="D79" s="235"/>
      <c r="E79" s="235"/>
      <c r="F79" s="235"/>
      <c r="G79" s="235"/>
      <c r="H79" s="236"/>
      <c r="I79" s="236"/>
      <c r="J79" s="237"/>
      <c r="K79" s="275"/>
      <c r="L79" s="239"/>
      <c r="M79" s="239"/>
      <c r="N79" s="239"/>
      <c r="O79" s="239"/>
      <c r="P79" s="240"/>
      <c r="R79" s="254" t="str">
        <f t="shared" si="2"/>
        <v/>
      </c>
      <c r="S79" s="255" t="str">
        <f t="shared" si="3"/>
        <v/>
      </c>
    </row>
    <row r="80" spans="1:19" ht="19.7" customHeight="1">
      <c r="A80" s="276" t="s">
        <v>487</v>
      </c>
      <c r="B80" s="586" t="s">
        <v>488</v>
      </c>
      <c r="C80" s="586"/>
      <c r="D80" s="586"/>
      <c r="E80" s="586"/>
      <c r="F80" s="586"/>
      <c r="G80" s="586"/>
      <c r="H80" s="243" t="s">
        <v>343</v>
      </c>
      <c r="I80" s="265" t="s">
        <v>489</v>
      </c>
      <c r="J80" s="243">
        <v>41409</v>
      </c>
      <c r="K80" s="266">
        <v>6</v>
      </c>
      <c r="L80" s="587" t="s">
        <v>490</v>
      </c>
      <c r="M80" s="586"/>
      <c r="N80" s="586"/>
      <c r="O80" s="586"/>
      <c r="P80" s="588"/>
      <c r="R80" s="254">
        <f t="shared" si="2"/>
        <v>6.75</v>
      </c>
      <c r="S80" s="255">
        <f t="shared" si="3"/>
        <v>0.5</v>
      </c>
    </row>
    <row r="81" spans="1:19" ht="19.7" customHeight="1">
      <c r="A81" s="278" t="s">
        <v>491</v>
      </c>
      <c r="B81" s="589" t="s">
        <v>492</v>
      </c>
      <c r="C81" s="589"/>
      <c r="D81" s="589"/>
      <c r="E81" s="589"/>
      <c r="F81" s="589"/>
      <c r="G81" s="589"/>
      <c r="H81" s="251" t="s">
        <v>343</v>
      </c>
      <c r="I81" s="268" t="s">
        <v>489</v>
      </c>
      <c r="J81" s="251">
        <v>41409</v>
      </c>
      <c r="K81" s="269">
        <v>12</v>
      </c>
      <c r="L81" s="590" t="s">
        <v>490</v>
      </c>
      <c r="M81" s="589"/>
      <c r="N81" s="589"/>
      <c r="O81" s="589"/>
      <c r="P81" s="591"/>
      <c r="R81" s="254">
        <f t="shared" si="2"/>
        <v>13.5</v>
      </c>
      <c r="S81" s="255">
        <f t="shared" si="3"/>
        <v>0.5</v>
      </c>
    </row>
    <row r="82" spans="1:19" ht="19.7" customHeight="1">
      <c r="A82" s="278" t="s">
        <v>493</v>
      </c>
      <c r="B82" s="589" t="s">
        <v>494</v>
      </c>
      <c r="C82" s="589"/>
      <c r="D82" s="589"/>
      <c r="E82" s="589"/>
      <c r="F82" s="589"/>
      <c r="G82" s="589"/>
      <c r="H82" s="251" t="s">
        <v>343</v>
      </c>
      <c r="I82" s="268" t="s">
        <v>489</v>
      </c>
      <c r="J82" s="251">
        <v>41409</v>
      </c>
      <c r="K82" s="269">
        <v>15</v>
      </c>
      <c r="L82" s="590" t="s">
        <v>490</v>
      </c>
      <c r="M82" s="589"/>
      <c r="N82" s="589"/>
      <c r="O82" s="589"/>
      <c r="P82" s="591"/>
      <c r="R82" s="254">
        <f t="shared" si="2"/>
        <v>16.875</v>
      </c>
      <c r="S82" s="255">
        <f t="shared" si="3"/>
        <v>0.5</v>
      </c>
    </row>
    <row r="83" spans="1:19" ht="19.7" customHeight="1">
      <c r="A83" s="278" t="s">
        <v>495</v>
      </c>
      <c r="B83" s="589" t="s">
        <v>496</v>
      </c>
      <c r="C83" s="589"/>
      <c r="D83" s="589"/>
      <c r="E83" s="589"/>
      <c r="F83" s="589"/>
      <c r="G83" s="589"/>
      <c r="H83" s="251" t="s">
        <v>343</v>
      </c>
      <c r="I83" s="268" t="s">
        <v>489</v>
      </c>
      <c r="J83" s="251">
        <v>41409</v>
      </c>
      <c r="K83" s="269">
        <v>4</v>
      </c>
      <c r="L83" s="590" t="s">
        <v>490</v>
      </c>
      <c r="M83" s="589"/>
      <c r="N83" s="589"/>
      <c r="O83" s="589"/>
      <c r="P83" s="591"/>
      <c r="R83" s="254">
        <f t="shared" si="2"/>
        <v>4.5</v>
      </c>
      <c r="S83" s="255">
        <f t="shared" si="3"/>
        <v>0.5</v>
      </c>
    </row>
    <row r="84" spans="1:19" ht="19.7" customHeight="1">
      <c r="A84" s="278" t="s">
        <v>497</v>
      </c>
      <c r="B84" s="589" t="s">
        <v>498</v>
      </c>
      <c r="C84" s="589"/>
      <c r="D84" s="589"/>
      <c r="E84" s="589"/>
      <c r="F84" s="589"/>
      <c r="G84" s="589"/>
      <c r="H84" s="251" t="s">
        <v>499</v>
      </c>
      <c r="I84" s="268" t="s">
        <v>433</v>
      </c>
      <c r="J84" s="251">
        <v>41359</v>
      </c>
      <c r="K84" s="269">
        <v>257</v>
      </c>
      <c r="L84" s="590" t="s">
        <v>500</v>
      </c>
      <c r="M84" s="589"/>
      <c r="N84" s="589"/>
      <c r="O84" s="589"/>
      <c r="P84" s="591"/>
      <c r="R84" s="254">
        <f t="shared" si="2"/>
        <v>297.8701388888889</v>
      </c>
      <c r="S84" s="255">
        <f t="shared" si="3"/>
        <v>0.63611111111111107</v>
      </c>
    </row>
    <row r="85" spans="1:19" ht="19.7" customHeight="1">
      <c r="A85" s="278" t="s">
        <v>501</v>
      </c>
      <c r="B85" s="589" t="s">
        <v>502</v>
      </c>
      <c r="C85" s="589"/>
      <c r="D85" s="589"/>
      <c r="E85" s="589"/>
      <c r="F85" s="589"/>
      <c r="G85" s="589"/>
      <c r="H85" s="251"/>
      <c r="I85" s="268" t="s">
        <v>433</v>
      </c>
      <c r="J85" s="251">
        <v>41342</v>
      </c>
      <c r="K85" s="269">
        <v>549.66999999999996</v>
      </c>
      <c r="L85" s="590" t="s">
        <v>500</v>
      </c>
      <c r="M85" s="589"/>
      <c r="N85" s="589"/>
      <c r="O85" s="589"/>
      <c r="P85" s="591"/>
      <c r="R85" s="254">
        <f t="shared" si="2"/>
        <v>643.57195833333333</v>
      </c>
      <c r="S85" s="255">
        <f t="shared" si="3"/>
        <v>0.68333333333333335</v>
      </c>
    </row>
    <row r="86" spans="1:19" ht="19.7" customHeight="1">
      <c r="A86" s="278"/>
      <c r="B86" s="589"/>
      <c r="C86" s="589"/>
      <c r="D86" s="589"/>
      <c r="E86" s="589"/>
      <c r="F86" s="589"/>
      <c r="G86" s="589"/>
      <c r="H86" s="251"/>
      <c r="I86" s="268"/>
      <c r="J86" s="251"/>
      <c r="K86" s="269"/>
      <c r="L86" s="598"/>
      <c r="M86" s="599"/>
      <c r="N86" s="599"/>
      <c r="O86" s="599"/>
      <c r="P86" s="600"/>
      <c r="R86" s="254" t="str">
        <f t="shared" si="2"/>
        <v/>
      </c>
      <c r="S86" s="255" t="str">
        <f t="shared" si="3"/>
        <v/>
      </c>
    </row>
    <row r="87" spans="1:19" ht="19.7" customHeight="1">
      <c r="A87" s="259"/>
      <c r="B87" s="592"/>
      <c r="C87" s="592"/>
      <c r="D87" s="592"/>
      <c r="E87" s="592"/>
      <c r="F87" s="592"/>
      <c r="G87" s="592"/>
      <c r="H87" s="273"/>
      <c r="I87" s="272"/>
      <c r="J87" s="273"/>
      <c r="K87" s="274"/>
      <c r="L87" s="601"/>
      <c r="M87" s="602"/>
      <c r="N87" s="602"/>
      <c r="O87" s="602"/>
      <c r="P87" s="603"/>
      <c r="R87" s="254" t="str">
        <f t="shared" si="2"/>
        <v/>
      </c>
      <c r="S87" s="255" t="str">
        <f t="shared" si="3"/>
        <v/>
      </c>
    </row>
    <row r="88" spans="1:19" ht="19.7" customHeight="1">
      <c r="A88" s="234" t="s">
        <v>503</v>
      </c>
      <c r="B88" s="235" t="s">
        <v>504</v>
      </c>
      <c r="C88" s="235"/>
      <c r="D88" s="235"/>
      <c r="E88" s="235"/>
      <c r="F88" s="235"/>
      <c r="G88" s="235"/>
      <c r="H88" s="236"/>
      <c r="I88" s="236"/>
      <c r="J88" s="237"/>
      <c r="K88" s="275"/>
      <c r="L88" s="239"/>
      <c r="M88" s="239"/>
      <c r="N88" s="239"/>
      <c r="O88" s="239"/>
      <c r="P88" s="240"/>
      <c r="R88" s="254" t="str">
        <f t="shared" si="2"/>
        <v/>
      </c>
      <c r="S88" s="255" t="str">
        <f t="shared" si="3"/>
        <v/>
      </c>
    </row>
    <row r="89" spans="1:19" ht="19.7" customHeight="1">
      <c r="A89" s="276" t="s">
        <v>505</v>
      </c>
      <c r="B89" s="587" t="s">
        <v>506</v>
      </c>
      <c r="C89" s="586"/>
      <c r="D89" s="586"/>
      <c r="E89" s="586"/>
      <c r="F89" s="586"/>
      <c r="G89" s="588"/>
      <c r="H89" s="264" t="s">
        <v>507</v>
      </c>
      <c r="I89" s="265" t="s">
        <v>386</v>
      </c>
      <c r="J89" s="243">
        <v>41334</v>
      </c>
      <c r="K89" s="277">
        <f>89.59</f>
        <v>89.59</v>
      </c>
      <c r="L89" s="587" t="s">
        <v>356</v>
      </c>
      <c r="M89" s="586"/>
      <c r="N89" s="586"/>
      <c r="O89" s="586"/>
      <c r="P89" s="588"/>
      <c r="R89" s="254">
        <f t="shared" si="2"/>
        <v>105.39268055555556</v>
      </c>
      <c r="S89" s="255">
        <f t="shared" si="3"/>
        <v>0.7055555555555556</v>
      </c>
    </row>
    <row r="90" spans="1:19" ht="19.7" customHeight="1">
      <c r="A90" s="278" t="s">
        <v>508</v>
      </c>
      <c r="B90" s="590" t="s">
        <v>509</v>
      </c>
      <c r="C90" s="589"/>
      <c r="D90" s="589"/>
      <c r="E90" s="589"/>
      <c r="F90" s="589"/>
      <c r="G90" s="591"/>
      <c r="H90" s="267" t="s">
        <v>507</v>
      </c>
      <c r="I90" s="268" t="s">
        <v>386</v>
      </c>
      <c r="J90" s="251">
        <v>41334</v>
      </c>
      <c r="K90" s="279">
        <f>115.85</f>
        <v>115.85</v>
      </c>
      <c r="L90" s="590" t="s">
        <v>356</v>
      </c>
      <c r="M90" s="589"/>
      <c r="N90" s="589"/>
      <c r="O90" s="589"/>
      <c r="P90" s="591"/>
      <c r="R90" s="254">
        <f t="shared" si="2"/>
        <v>136.28465277777778</v>
      </c>
      <c r="S90" s="255">
        <f t="shared" si="3"/>
        <v>0.7055555555555556</v>
      </c>
    </row>
    <row r="91" spans="1:19" ht="19.7" customHeight="1">
      <c r="A91" s="278" t="s">
        <v>510</v>
      </c>
      <c r="B91" s="590" t="s">
        <v>511</v>
      </c>
      <c r="C91" s="589"/>
      <c r="D91" s="589"/>
      <c r="E91" s="589"/>
      <c r="F91" s="589"/>
      <c r="G91" s="591"/>
      <c r="H91" s="267"/>
      <c r="I91" s="268" t="s">
        <v>386</v>
      </c>
      <c r="J91" s="251">
        <v>41382</v>
      </c>
      <c r="K91" s="279">
        <v>75.88</v>
      </c>
      <c r="L91" s="590" t="s">
        <v>512</v>
      </c>
      <c r="M91" s="589"/>
      <c r="N91" s="589"/>
      <c r="O91" s="589"/>
      <c r="P91" s="591"/>
      <c r="R91" s="254">
        <f t="shared" si="2"/>
        <v>86.787750000000003</v>
      </c>
      <c r="S91" s="255">
        <f t="shared" si="3"/>
        <v>0.57499999999999996</v>
      </c>
    </row>
    <row r="92" spans="1:19" ht="19.7" customHeight="1">
      <c r="A92" s="278" t="s">
        <v>513</v>
      </c>
      <c r="B92" s="590" t="s">
        <v>514</v>
      </c>
      <c r="C92" s="589"/>
      <c r="D92" s="589"/>
      <c r="E92" s="589"/>
      <c r="F92" s="589"/>
      <c r="G92" s="591"/>
      <c r="H92" s="267" t="s">
        <v>507</v>
      </c>
      <c r="I92" s="268" t="s">
        <v>442</v>
      </c>
      <c r="J92" s="251">
        <v>41334</v>
      </c>
      <c r="K92" s="279">
        <v>87.09</v>
      </c>
      <c r="L92" s="590" t="s">
        <v>356</v>
      </c>
      <c r="M92" s="589"/>
      <c r="N92" s="589"/>
      <c r="O92" s="589"/>
      <c r="P92" s="591"/>
      <c r="R92" s="254">
        <f t="shared" si="2"/>
        <v>102.45170833333334</v>
      </c>
      <c r="S92" s="255">
        <f t="shared" si="3"/>
        <v>0.7055555555555556</v>
      </c>
    </row>
    <row r="93" spans="1:19" ht="19.7" customHeight="1">
      <c r="A93" s="278" t="s">
        <v>515</v>
      </c>
      <c r="B93" s="590" t="s">
        <v>516</v>
      </c>
      <c r="C93" s="589"/>
      <c r="D93" s="589"/>
      <c r="E93" s="589"/>
      <c r="F93" s="589"/>
      <c r="G93" s="591"/>
      <c r="H93" s="267"/>
      <c r="I93" s="268" t="s">
        <v>4</v>
      </c>
      <c r="J93" s="251">
        <v>41334</v>
      </c>
      <c r="K93" s="279">
        <f>30.76</f>
        <v>30.76</v>
      </c>
      <c r="L93" s="590" t="s">
        <v>356</v>
      </c>
      <c r="M93" s="589"/>
      <c r="N93" s="589"/>
      <c r="O93" s="589"/>
      <c r="P93" s="591"/>
      <c r="R93" s="254">
        <f t="shared" si="2"/>
        <v>36.185722222222225</v>
      </c>
      <c r="S93" s="255">
        <f t="shared" si="3"/>
        <v>0.7055555555555556</v>
      </c>
    </row>
    <row r="94" spans="1:19" ht="19.7" customHeight="1">
      <c r="A94" s="278" t="s">
        <v>517</v>
      </c>
      <c r="B94" s="590" t="s">
        <v>518</v>
      </c>
      <c r="C94" s="589"/>
      <c r="D94" s="589"/>
      <c r="E94" s="589"/>
      <c r="F94" s="589"/>
      <c r="G94" s="591"/>
      <c r="H94" s="267"/>
      <c r="I94" s="268" t="s">
        <v>4</v>
      </c>
      <c r="J94" s="251">
        <v>41334</v>
      </c>
      <c r="K94" s="279">
        <f>41.68</f>
        <v>41.68</v>
      </c>
      <c r="L94" s="590" t="s">
        <v>356</v>
      </c>
      <c r="M94" s="589"/>
      <c r="N94" s="589"/>
      <c r="O94" s="589"/>
      <c r="P94" s="591"/>
      <c r="R94" s="254">
        <f t="shared" si="2"/>
        <v>49.031888888888894</v>
      </c>
      <c r="S94" s="255">
        <f t="shared" si="3"/>
        <v>0.7055555555555556</v>
      </c>
    </row>
    <row r="95" spans="1:19" ht="19.7" customHeight="1">
      <c r="A95" s="278" t="s">
        <v>519</v>
      </c>
      <c r="B95" s="590" t="s">
        <v>520</v>
      </c>
      <c r="C95" s="589"/>
      <c r="D95" s="589"/>
      <c r="E95" s="589"/>
      <c r="F95" s="589"/>
      <c r="G95" s="591"/>
      <c r="H95" s="267"/>
      <c r="I95" s="268" t="s">
        <v>433</v>
      </c>
      <c r="J95" s="251">
        <v>41382</v>
      </c>
      <c r="K95" s="279">
        <v>6</v>
      </c>
      <c r="L95" s="590" t="s">
        <v>382</v>
      </c>
      <c r="M95" s="589"/>
      <c r="N95" s="589"/>
      <c r="O95" s="589"/>
      <c r="P95" s="591"/>
      <c r="R95" s="254">
        <f t="shared" si="2"/>
        <v>6.8625000000000007</v>
      </c>
      <c r="S95" s="255">
        <f t="shared" si="3"/>
        <v>0.57499999999999996</v>
      </c>
    </row>
    <row r="96" spans="1:19" ht="19.7" customHeight="1">
      <c r="A96" s="278" t="s">
        <v>521</v>
      </c>
      <c r="B96" s="590" t="s">
        <v>522</v>
      </c>
      <c r="C96" s="589"/>
      <c r="D96" s="589"/>
      <c r="E96" s="589"/>
      <c r="F96" s="589"/>
      <c r="G96" s="591"/>
      <c r="H96" s="267"/>
      <c r="I96" s="268" t="s">
        <v>442</v>
      </c>
      <c r="J96" s="251">
        <v>41334</v>
      </c>
      <c r="K96" s="279">
        <f>48.5</f>
        <v>48.5</v>
      </c>
      <c r="L96" s="590" t="s">
        <v>356</v>
      </c>
      <c r="M96" s="589"/>
      <c r="N96" s="589"/>
      <c r="O96" s="589"/>
      <c r="P96" s="591"/>
      <c r="R96" s="254">
        <f t="shared" si="2"/>
        <v>57.054861111111116</v>
      </c>
      <c r="S96" s="255">
        <f t="shared" si="3"/>
        <v>0.7055555555555556</v>
      </c>
    </row>
    <row r="97" spans="1:19" ht="19.7" customHeight="1">
      <c r="A97" s="278" t="s">
        <v>523</v>
      </c>
      <c r="B97" s="590" t="s">
        <v>524</v>
      </c>
      <c r="C97" s="589"/>
      <c r="D97" s="589"/>
      <c r="E97" s="589"/>
      <c r="F97" s="589"/>
      <c r="G97" s="591"/>
      <c r="H97" s="267" t="s">
        <v>525</v>
      </c>
      <c r="I97" s="268" t="s">
        <v>442</v>
      </c>
      <c r="J97" s="251">
        <v>41389</v>
      </c>
      <c r="K97" s="279">
        <v>40.5</v>
      </c>
      <c r="L97" s="590" t="s">
        <v>446</v>
      </c>
      <c r="M97" s="589"/>
      <c r="N97" s="589"/>
      <c r="O97" s="589"/>
      <c r="P97" s="591"/>
      <c r="R97" s="254">
        <f t="shared" si="2"/>
        <v>46.125</v>
      </c>
      <c r="S97" s="255">
        <f t="shared" si="3"/>
        <v>0.55555555555555558</v>
      </c>
    </row>
    <row r="98" spans="1:19" ht="19.7" customHeight="1">
      <c r="A98" s="278" t="s">
        <v>526</v>
      </c>
      <c r="B98" s="590" t="s">
        <v>527</v>
      </c>
      <c r="C98" s="589"/>
      <c r="D98" s="589"/>
      <c r="E98" s="589"/>
      <c r="F98" s="589"/>
      <c r="G98" s="591"/>
      <c r="H98" s="267" t="s">
        <v>528</v>
      </c>
      <c r="I98" s="268" t="s">
        <v>442</v>
      </c>
      <c r="J98" s="251">
        <v>41428</v>
      </c>
      <c r="K98" s="279">
        <v>50</v>
      </c>
      <c r="L98" s="590" t="s">
        <v>446</v>
      </c>
      <c r="M98" s="589"/>
      <c r="N98" s="589"/>
      <c r="O98" s="589"/>
      <c r="P98" s="591"/>
      <c r="R98" s="254">
        <f t="shared" si="2"/>
        <v>55.625</v>
      </c>
      <c r="S98" s="255">
        <f t="shared" si="3"/>
        <v>0.45</v>
      </c>
    </row>
    <row r="99" spans="1:19" ht="19.7" customHeight="1">
      <c r="A99" s="278" t="s">
        <v>529</v>
      </c>
      <c r="B99" s="590" t="s">
        <v>530</v>
      </c>
      <c r="C99" s="589"/>
      <c r="D99" s="589"/>
      <c r="E99" s="589"/>
      <c r="F99" s="589"/>
      <c r="G99" s="591"/>
      <c r="H99" s="267"/>
      <c r="I99" s="268" t="s">
        <v>442</v>
      </c>
      <c r="J99" s="251">
        <v>41409</v>
      </c>
      <c r="K99" s="279">
        <v>127</v>
      </c>
      <c r="L99" s="590" t="s">
        <v>356</v>
      </c>
      <c r="M99" s="589"/>
      <c r="N99" s="589"/>
      <c r="O99" s="589"/>
      <c r="P99" s="591"/>
      <c r="R99" s="254">
        <f>IF(J99&gt;0, K99*(1+(T$2/100)*S99), "")</f>
        <v>142.875</v>
      </c>
      <c r="S99" s="255">
        <f>IF(K99&gt;0, DAYS360(J99,T$3)/360, "")</f>
        <v>0.5</v>
      </c>
    </row>
    <row r="100" spans="1:19" ht="19.7" customHeight="1">
      <c r="A100" s="278" t="s">
        <v>531</v>
      </c>
      <c r="B100" s="590" t="s">
        <v>532</v>
      </c>
      <c r="C100" s="589"/>
      <c r="D100" s="589"/>
      <c r="E100" s="589"/>
      <c r="F100" s="589"/>
      <c r="G100" s="591"/>
      <c r="H100" s="267"/>
      <c r="I100" s="268" t="s">
        <v>442</v>
      </c>
      <c r="J100" s="251">
        <v>41409</v>
      </c>
      <c r="K100" s="279">
        <v>106</v>
      </c>
      <c r="L100" s="590" t="s">
        <v>356</v>
      </c>
      <c r="M100" s="589"/>
      <c r="N100" s="589"/>
      <c r="O100" s="589"/>
      <c r="P100" s="591"/>
      <c r="R100" s="254">
        <f>IF(J100&gt;0, K100*(1+(T$2/100)*S100), "")</f>
        <v>119.25</v>
      </c>
      <c r="S100" s="255">
        <f>IF(K100&gt;0, DAYS360(J100,T$3)/360, "")</f>
        <v>0.5</v>
      </c>
    </row>
    <row r="101" spans="1:19" ht="19.7" customHeight="1">
      <c r="A101" s="278" t="s">
        <v>533</v>
      </c>
      <c r="B101" s="590" t="s">
        <v>534</v>
      </c>
      <c r="C101" s="589"/>
      <c r="D101" s="589"/>
      <c r="E101" s="589"/>
      <c r="F101" s="589"/>
      <c r="G101" s="591"/>
      <c r="H101" s="267"/>
      <c r="I101" s="268" t="s">
        <v>442</v>
      </c>
      <c r="J101" s="251">
        <v>41395</v>
      </c>
      <c r="K101" s="279">
        <v>60</v>
      </c>
      <c r="L101" s="590" t="s">
        <v>356</v>
      </c>
      <c r="M101" s="589"/>
      <c r="N101" s="589"/>
      <c r="O101" s="589"/>
      <c r="P101" s="591"/>
      <c r="R101" s="254">
        <f>IF(J101&gt;0, K101*(1+(T$2/100)*S101), "")</f>
        <v>68.083333333333329</v>
      </c>
      <c r="S101" s="255">
        <f>IF(K101&gt;0, DAYS360(J101,T$3)/360, "")</f>
        <v>0.53888888888888886</v>
      </c>
    </row>
    <row r="102" spans="1:19" ht="19.7" customHeight="1">
      <c r="A102" s="278" t="s">
        <v>535</v>
      </c>
      <c r="B102" s="590" t="s">
        <v>536</v>
      </c>
      <c r="C102" s="589"/>
      <c r="D102" s="589"/>
      <c r="E102" s="589"/>
      <c r="F102" s="589"/>
      <c r="G102" s="591"/>
      <c r="H102" s="267" t="s">
        <v>528</v>
      </c>
      <c r="I102" s="268" t="s">
        <v>442</v>
      </c>
      <c r="J102" s="251">
        <v>41506</v>
      </c>
      <c r="K102" s="279">
        <v>63.33</v>
      </c>
      <c r="L102" s="590" t="s">
        <v>446</v>
      </c>
      <c r="M102" s="589"/>
      <c r="N102" s="589"/>
      <c r="O102" s="589"/>
      <c r="P102" s="591"/>
      <c r="R102" s="254">
        <f t="shared" si="2"/>
        <v>67.068229166666654</v>
      </c>
      <c r="S102" s="255">
        <f t="shared" si="3"/>
        <v>0.2361111111111111</v>
      </c>
    </row>
    <row r="103" spans="1:19" ht="19.7" customHeight="1">
      <c r="A103" s="278" t="s">
        <v>537</v>
      </c>
      <c r="B103" s="590" t="s">
        <v>538</v>
      </c>
      <c r="C103" s="589"/>
      <c r="D103" s="589"/>
      <c r="E103" s="589"/>
      <c r="F103" s="589"/>
      <c r="G103" s="591"/>
      <c r="H103" s="267" t="s">
        <v>528</v>
      </c>
      <c r="I103" s="268" t="s">
        <v>442</v>
      </c>
      <c r="J103" s="251">
        <v>41443</v>
      </c>
      <c r="K103" s="279">
        <v>49.17</v>
      </c>
      <c r="L103" s="590" t="s">
        <v>446</v>
      </c>
      <c r="M103" s="589"/>
      <c r="N103" s="589"/>
      <c r="O103" s="589"/>
      <c r="P103" s="591"/>
      <c r="R103" s="254">
        <f t="shared" si="2"/>
        <v>54.189437500000004</v>
      </c>
      <c r="S103" s="255">
        <f t="shared" si="3"/>
        <v>0.40833333333333333</v>
      </c>
    </row>
    <row r="104" spans="1:19" ht="19.7" customHeight="1">
      <c r="A104" s="278" t="s">
        <v>539</v>
      </c>
      <c r="B104" s="590" t="s">
        <v>540</v>
      </c>
      <c r="C104" s="589"/>
      <c r="D104" s="589"/>
      <c r="E104" s="589"/>
      <c r="F104" s="589"/>
      <c r="G104" s="591"/>
      <c r="H104" s="267" t="s">
        <v>541</v>
      </c>
      <c r="I104" s="268" t="s">
        <v>4</v>
      </c>
      <c r="J104" s="251">
        <v>41408</v>
      </c>
      <c r="K104" s="279">
        <v>44.68</v>
      </c>
      <c r="L104" s="590" t="s">
        <v>446</v>
      </c>
      <c r="M104" s="589"/>
      <c r="N104" s="589"/>
      <c r="O104" s="589"/>
      <c r="P104" s="591"/>
      <c r="R104" s="254">
        <f t="shared" si="2"/>
        <v>50.29602777777778</v>
      </c>
      <c r="S104" s="255">
        <f t="shared" si="3"/>
        <v>0.50277777777777777</v>
      </c>
    </row>
    <row r="105" spans="1:19" ht="19.7" customHeight="1">
      <c r="A105" s="278" t="s">
        <v>542</v>
      </c>
      <c r="B105" s="590" t="s">
        <v>543</v>
      </c>
      <c r="C105" s="589"/>
      <c r="D105" s="589"/>
      <c r="E105" s="589"/>
      <c r="F105" s="589"/>
      <c r="G105" s="591"/>
      <c r="H105" s="267" t="s">
        <v>541</v>
      </c>
      <c r="I105" s="268" t="s">
        <v>4</v>
      </c>
      <c r="J105" s="251">
        <v>41451</v>
      </c>
      <c r="K105" s="279">
        <f>15.09*4</f>
        <v>60.36</v>
      </c>
      <c r="L105" s="590" t="s">
        <v>446</v>
      </c>
      <c r="M105" s="589"/>
      <c r="N105" s="589"/>
      <c r="O105" s="589"/>
      <c r="P105" s="591"/>
      <c r="R105" s="254">
        <f t="shared" si="2"/>
        <v>66.186416666666659</v>
      </c>
      <c r="S105" s="255">
        <f t="shared" si="3"/>
        <v>0.38611111111111113</v>
      </c>
    </row>
    <row r="106" spans="1:19" ht="19.7" customHeight="1">
      <c r="A106" s="278" t="s">
        <v>544</v>
      </c>
      <c r="B106" s="590" t="s">
        <v>545</v>
      </c>
      <c r="C106" s="589"/>
      <c r="D106" s="589"/>
      <c r="E106" s="589"/>
      <c r="F106" s="589"/>
      <c r="G106" s="591"/>
      <c r="H106" s="267" t="s">
        <v>546</v>
      </c>
      <c r="I106" s="268" t="s">
        <v>409</v>
      </c>
      <c r="J106" s="251">
        <v>41519</v>
      </c>
      <c r="K106" s="279">
        <v>4.0999999999999996</v>
      </c>
      <c r="L106" s="590" t="s">
        <v>382</v>
      </c>
      <c r="M106" s="589"/>
      <c r="N106" s="589"/>
      <c r="O106" s="589"/>
      <c r="P106" s="591"/>
      <c r="R106" s="254">
        <f t="shared" si="2"/>
        <v>4.3078472222222217</v>
      </c>
      <c r="S106" s="255">
        <f t="shared" si="3"/>
        <v>0.20277777777777778</v>
      </c>
    </row>
    <row r="107" spans="1:19" ht="19.7" customHeight="1">
      <c r="A107" s="278" t="s">
        <v>547</v>
      </c>
      <c r="B107" s="590" t="s">
        <v>548</v>
      </c>
      <c r="C107" s="589"/>
      <c r="D107" s="589"/>
      <c r="E107" s="589"/>
      <c r="F107" s="589"/>
      <c r="G107" s="591"/>
      <c r="H107" s="267" t="s">
        <v>378</v>
      </c>
      <c r="I107" s="268" t="s">
        <v>549</v>
      </c>
      <c r="J107" s="251">
        <v>41519</v>
      </c>
      <c r="K107" s="279">
        <f>94.55/310</f>
        <v>0.30499999999999999</v>
      </c>
      <c r="L107" s="590" t="s">
        <v>382</v>
      </c>
      <c r="M107" s="589"/>
      <c r="N107" s="589"/>
      <c r="O107" s="589"/>
      <c r="P107" s="591"/>
      <c r="R107" s="254">
        <f>IF(J107&gt;0, K107*(1+(T$2/100)*S107), "")</f>
        <v>0.32046180555555553</v>
      </c>
      <c r="S107" s="255">
        <f>IF(K107&gt;0, DAYS360(J107,T$3)/360, "")</f>
        <v>0.20277777777777778</v>
      </c>
    </row>
    <row r="108" spans="1:19" ht="19.7" customHeight="1">
      <c r="A108" s="278" t="s">
        <v>550</v>
      </c>
      <c r="B108" s="590" t="s">
        <v>551</v>
      </c>
      <c r="C108" s="589"/>
      <c r="D108" s="589"/>
      <c r="E108" s="589"/>
      <c r="F108" s="589"/>
      <c r="G108" s="591"/>
      <c r="H108" s="267" t="s">
        <v>546</v>
      </c>
      <c r="I108" s="268" t="s">
        <v>409</v>
      </c>
      <c r="J108" s="251">
        <v>41519</v>
      </c>
      <c r="K108" s="279">
        <f>461.25/25</f>
        <v>18.45</v>
      </c>
      <c r="L108" s="590" t="s">
        <v>382</v>
      </c>
      <c r="M108" s="589"/>
      <c r="N108" s="589"/>
      <c r="O108" s="589"/>
      <c r="P108" s="591"/>
      <c r="R108" s="254">
        <f>IF(J108&gt;0, K108*(1+(T$2/100)*S108), "")</f>
        <v>19.385312499999998</v>
      </c>
      <c r="S108" s="255">
        <f>IF(K108&gt;0, DAYS360(J108,T$3)/360, "")</f>
        <v>0.20277777777777778</v>
      </c>
    </row>
    <row r="109" spans="1:19" ht="19.7" customHeight="1">
      <c r="A109" s="259"/>
      <c r="B109" s="593"/>
      <c r="C109" s="592"/>
      <c r="D109" s="592"/>
      <c r="E109" s="592"/>
      <c r="F109" s="592"/>
      <c r="G109" s="594"/>
      <c r="H109" s="287"/>
      <c r="I109" s="272"/>
      <c r="J109" s="273"/>
      <c r="K109" s="281"/>
      <c r="L109" s="593"/>
      <c r="M109" s="592"/>
      <c r="N109" s="592"/>
      <c r="O109" s="592"/>
      <c r="P109" s="594"/>
      <c r="R109" s="254" t="str">
        <f t="shared" si="2"/>
        <v/>
      </c>
      <c r="S109" s="255" t="str">
        <f t="shared" si="3"/>
        <v/>
      </c>
    </row>
    <row r="110" spans="1:19" ht="19.7" customHeight="1">
      <c r="A110" s="234" t="s">
        <v>552</v>
      </c>
      <c r="B110" s="235" t="s">
        <v>553</v>
      </c>
      <c r="C110" s="235"/>
      <c r="D110" s="235"/>
      <c r="E110" s="235"/>
      <c r="F110" s="235"/>
      <c r="G110" s="235"/>
      <c r="H110" s="236"/>
      <c r="I110" s="236"/>
      <c r="J110" s="237"/>
      <c r="K110" s="275"/>
      <c r="L110" s="239"/>
      <c r="M110" s="239"/>
      <c r="N110" s="239"/>
      <c r="O110" s="239"/>
      <c r="P110" s="240"/>
      <c r="R110" s="254" t="str">
        <f t="shared" si="2"/>
        <v/>
      </c>
      <c r="S110" s="255" t="str">
        <f t="shared" si="3"/>
        <v/>
      </c>
    </row>
    <row r="111" spans="1:19" ht="19.7" customHeight="1">
      <c r="A111" s="278" t="s">
        <v>554</v>
      </c>
      <c r="B111" s="589" t="s">
        <v>555</v>
      </c>
      <c r="C111" s="589"/>
      <c r="D111" s="589"/>
      <c r="E111" s="589"/>
      <c r="F111" s="589"/>
      <c r="G111" s="589"/>
      <c r="H111" s="251"/>
      <c r="I111" s="268" t="s">
        <v>442</v>
      </c>
      <c r="J111" s="251">
        <v>41356</v>
      </c>
      <c r="K111" s="269">
        <v>2700</v>
      </c>
      <c r="L111" s="590" t="s">
        <v>556</v>
      </c>
      <c r="M111" s="589"/>
      <c r="N111" s="589"/>
      <c r="O111" s="589"/>
      <c r="P111" s="591"/>
      <c r="R111" s="254">
        <f t="shared" si="2"/>
        <v>3135.0000000000005</v>
      </c>
      <c r="S111" s="255">
        <f t="shared" si="3"/>
        <v>0.64444444444444449</v>
      </c>
    </row>
    <row r="112" spans="1:19" ht="19.7" customHeight="1">
      <c r="A112" s="278" t="s">
        <v>557</v>
      </c>
      <c r="B112" s="589" t="s">
        <v>558</v>
      </c>
      <c r="C112" s="589"/>
      <c r="D112" s="589"/>
      <c r="E112" s="589"/>
      <c r="F112" s="589"/>
      <c r="G112" s="589"/>
      <c r="H112" s="251"/>
      <c r="I112" s="268" t="s">
        <v>442</v>
      </c>
      <c r="J112" s="251">
        <v>41387</v>
      </c>
      <c r="K112" s="269">
        <v>1863</v>
      </c>
      <c r="L112" s="590" t="s">
        <v>556</v>
      </c>
      <c r="M112" s="589"/>
      <c r="N112" s="589"/>
      <c r="O112" s="589"/>
      <c r="P112" s="591"/>
      <c r="R112" s="254">
        <f t="shared" si="2"/>
        <v>2124.3375000000001</v>
      </c>
      <c r="S112" s="255">
        <f t="shared" si="3"/>
        <v>0.56111111111111112</v>
      </c>
    </row>
    <row r="113" spans="1:19" ht="19.7" customHeight="1">
      <c r="A113" s="278" t="s">
        <v>559</v>
      </c>
      <c r="B113" s="589" t="s">
        <v>560</v>
      </c>
      <c r="C113" s="589"/>
      <c r="D113" s="589"/>
      <c r="E113" s="589"/>
      <c r="F113" s="589"/>
      <c r="G113" s="589"/>
      <c r="H113" s="251"/>
      <c r="I113" s="268" t="s">
        <v>442</v>
      </c>
      <c r="J113" s="251">
        <v>41449</v>
      </c>
      <c r="K113" s="269">
        <v>2200</v>
      </c>
      <c r="L113" s="590" t="s">
        <v>561</v>
      </c>
      <c r="M113" s="589"/>
      <c r="N113" s="589"/>
      <c r="O113" s="589"/>
      <c r="P113" s="591"/>
      <c r="R113" s="254">
        <f t="shared" si="2"/>
        <v>2415.4166666666665</v>
      </c>
      <c r="S113" s="255">
        <f t="shared" si="3"/>
        <v>0.39166666666666666</v>
      </c>
    </row>
    <row r="114" spans="1:19" ht="19.7" customHeight="1">
      <c r="A114" s="278"/>
      <c r="B114" s="589"/>
      <c r="C114" s="589"/>
      <c r="D114" s="589"/>
      <c r="E114" s="589"/>
      <c r="F114" s="589"/>
      <c r="G114" s="589"/>
      <c r="H114" s="251"/>
      <c r="I114" s="268"/>
      <c r="J114" s="251"/>
      <c r="K114" s="269"/>
      <c r="L114" s="598"/>
      <c r="M114" s="599"/>
      <c r="N114" s="599"/>
      <c r="O114" s="599"/>
      <c r="P114" s="600"/>
      <c r="R114" s="254" t="str">
        <f t="shared" si="2"/>
        <v/>
      </c>
      <c r="S114" s="255" t="str">
        <f t="shared" si="3"/>
        <v/>
      </c>
    </row>
    <row r="115" spans="1:19" ht="19.7" customHeight="1">
      <c r="A115" s="278"/>
      <c r="B115" s="589"/>
      <c r="C115" s="589"/>
      <c r="D115" s="589"/>
      <c r="E115" s="589"/>
      <c r="F115" s="589"/>
      <c r="G115" s="589"/>
      <c r="H115" s="251"/>
      <c r="I115" s="268"/>
      <c r="J115" s="251"/>
      <c r="K115" s="269"/>
      <c r="L115" s="598"/>
      <c r="M115" s="599"/>
      <c r="N115" s="599"/>
      <c r="O115" s="599"/>
      <c r="P115" s="600"/>
      <c r="R115" s="254" t="str">
        <f t="shared" si="2"/>
        <v/>
      </c>
      <c r="S115" s="255" t="str">
        <f t="shared" si="3"/>
        <v/>
      </c>
    </row>
    <row r="116" spans="1:19" ht="19.7" customHeight="1">
      <c r="A116" s="278"/>
      <c r="B116" s="589"/>
      <c r="C116" s="589"/>
      <c r="D116" s="589"/>
      <c r="E116" s="589"/>
      <c r="F116" s="589"/>
      <c r="G116" s="589"/>
      <c r="H116" s="251"/>
      <c r="I116" s="268"/>
      <c r="J116" s="251"/>
      <c r="K116" s="269"/>
      <c r="L116" s="598"/>
      <c r="M116" s="599"/>
      <c r="N116" s="599"/>
      <c r="O116" s="599"/>
      <c r="P116" s="600"/>
      <c r="R116" s="254" t="str">
        <f t="shared" si="2"/>
        <v/>
      </c>
      <c r="S116" s="255" t="str">
        <f t="shared" si="3"/>
        <v/>
      </c>
    </row>
    <row r="117" spans="1:19" ht="19.7" customHeight="1">
      <c r="A117" s="234" t="s">
        <v>562</v>
      </c>
      <c r="B117" s="288" t="s">
        <v>563</v>
      </c>
      <c r="C117" s="235"/>
      <c r="D117" s="235"/>
      <c r="E117" s="235"/>
      <c r="F117" s="235"/>
      <c r="G117" s="235"/>
      <c r="H117" s="236"/>
      <c r="I117" s="236"/>
      <c r="J117" s="237"/>
      <c r="K117" s="275"/>
      <c r="L117" s="239"/>
      <c r="M117" s="239"/>
      <c r="N117" s="239"/>
      <c r="O117" s="239"/>
      <c r="P117" s="240"/>
      <c r="R117" s="254" t="str">
        <f t="shared" si="2"/>
        <v/>
      </c>
      <c r="S117" s="255" t="str">
        <f t="shared" si="3"/>
        <v/>
      </c>
    </row>
    <row r="118" spans="1:19" ht="19.7" customHeight="1">
      <c r="A118" s="289"/>
      <c r="B118" s="290" t="s">
        <v>564</v>
      </c>
      <c r="C118" s="291"/>
      <c r="D118" s="291"/>
      <c r="E118" s="291"/>
      <c r="F118" s="291"/>
      <c r="G118" s="292"/>
      <c r="H118" s="251"/>
      <c r="I118" s="252"/>
      <c r="J118" s="251"/>
      <c r="K118" s="269"/>
      <c r="L118" s="293"/>
      <c r="M118" s="291"/>
      <c r="N118" s="291"/>
      <c r="O118" s="291"/>
      <c r="P118" s="292"/>
      <c r="R118" s="254"/>
      <c r="S118" s="255"/>
    </row>
    <row r="119" spans="1:19" ht="19.7" customHeight="1">
      <c r="A119" s="289" t="s">
        <v>565</v>
      </c>
      <c r="B119" s="590" t="s">
        <v>566</v>
      </c>
      <c r="C119" s="589"/>
      <c r="D119" s="589"/>
      <c r="E119" s="589"/>
      <c r="F119" s="589"/>
      <c r="G119" s="591"/>
      <c r="H119" s="251" t="s">
        <v>567</v>
      </c>
      <c r="I119" s="252" t="s">
        <v>433</v>
      </c>
      <c r="J119" s="251">
        <v>41334</v>
      </c>
      <c r="K119" s="269">
        <v>412</v>
      </c>
      <c r="L119" s="590" t="s">
        <v>356</v>
      </c>
      <c r="M119" s="589"/>
      <c r="N119" s="589"/>
      <c r="O119" s="589"/>
      <c r="P119" s="591"/>
      <c r="R119" s="254">
        <f t="shared" si="2"/>
        <v>484.67222222222222</v>
      </c>
      <c r="S119" s="255">
        <f t="shared" si="3"/>
        <v>0.7055555555555556</v>
      </c>
    </row>
    <row r="120" spans="1:19" ht="19.7" customHeight="1">
      <c r="A120" s="289" t="s">
        <v>568</v>
      </c>
      <c r="B120" s="590" t="s">
        <v>569</v>
      </c>
      <c r="C120" s="589"/>
      <c r="D120" s="589"/>
      <c r="E120" s="589"/>
      <c r="F120" s="589"/>
      <c r="G120" s="591"/>
      <c r="H120" s="251" t="s">
        <v>567</v>
      </c>
      <c r="I120" s="252" t="s">
        <v>433</v>
      </c>
      <c r="J120" s="251">
        <v>41334</v>
      </c>
      <c r="K120" s="269">
        <v>1019</v>
      </c>
      <c r="L120" s="590" t="s">
        <v>356</v>
      </c>
      <c r="M120" s="589"/>
      <c r="N120" s="589"/>
      <c r="O120" s="589"/>
      <c r="P120" s="591"/>
      <c r="R120" s="254">
        <f t="shared" si="2"/>
        <v>1198.7402777777779</v>
      </c>
      <c r="S120" s="255">
        <f t="shared" si="3"/>
        <v>0.7055555555555556</v>
      </c>
    </row>
    <row r="121" spans="1:19" ht="19.7" customHeight="1">
      <c r="A121" s="289" t="s">
        <v>570</v>
      </c>
      <c r="B121" s="590" t="s">
        <v>571</v>
      </c>
      <c r="C121" s="589"/>
      <c r="D121" s="589"/>
      <c r="E121" s="589"/>
      <c r="F121" s="589"/>
      <c r="G121" s="591"/>
      <c r="H121" s="251" t="s">
        <v>567</v>
      </c>
      <c r="I121" s="252" t="s">
        <v>433</v>
      </c>
      <c r="J121" s="251">
        <v>41334</v>
      </c>
      <c r="K121" s="269">
        <v>1737</v>
      </c>
      <c r="L121" s="590" t="s">
        <v>356</v>
      </c>
      <c r="M121" s="589"/>
      <c r="N121" s="589"/>
      <c r="O121" s="589"/>
      <c r="P121" s="591"/>
      <c r="R121" s="254">
        <f t="shared" si="2"/>
        <v>2043.3875</v>
      </c>
      <c r="S121" s="255">
        <f t="shared" si="3"/>
        <v>0.7055555555555556</v>
      </c>
    </row>
    <row r="122" spans="1:19" ht="19.7" customHeight="1">
      <c r="A122" s="289" t="s">
        <v>572</v>
      </c>
      <c r="B122" s="590" t="s">
        <v>573</v>
      </c>
      <c r="C122" s="589"/>
      <c r="D122" s="589"/>
      <c r="E122" s="589"/>
      <c r="F122" s="589"/>
      <c r="G122" s="591"/>
      <c r="H122" s="251" t="s">
        <v>567</v>
      </c>
      <c r="I122" s="252" t="s">
        <v>433</v>
      </c>
      <c r="J122" s="251">
        <v>41334</v>
      </c>
      <c r="K122" s="269">
        <v>1296</v>
      </c>
      <c r="L122" s="590" t="s">
        <v>356</v>
      </c>
      <c r="M122" s="589"/>
      <c r="N122" s="589"/>
      <c r="O122" s="589"/>
      <c r="P122" s="591"/>
      <c r="R122" s="254">
        <f>IF(J122&gt;0, K122*(1+(T$2/100)*S122), "")</f>
        <v>1524.6000000000001</v>
      </c>
      <c r="S122" s="255">
        <f>IF(K122&gt;0, DAYS360(J122,T$3)/360, "")</f>
        <v>0.7055555555555556</v>
      </c>
    </row>
    <row r="123" spans="1:19" ht="19.7" customHeight="1">
      <c r="A123" s="289" t="s">
        <v>574</v>
      </c>
      <c r="B123" s="590" t="s">
        <v>575</v>
      </c>
      <c r="C123" s="589"/>
      <c r="D123" s="589"/>
      <c r="E123" s="589"/>
      <c r="F123" s="589"/>
      <c r="G123" s="591"/>
      <c r="H123" s="251" t="s">
        <v>567</v>
      </c>
      <c r="I123" s="252" t="s">
        <v>433</v>
      </c>
      <c r="J123" s="251">
        <v>41334</v>
      </c>
      <c r="K123" s="269">
        <v>2157</v>
      </c>
      <c r="L123" s="590" t="s">
        <v>356</v>
      </c>
      <c r="M123" s="589"/>
      <c r="N123" s="589"/>
      <c r="O123" s="589"/>
      <c r="P123" s="591"/>
      <c r="R123" s="254">
        <f>IF(J123&gt;0, K123*(1+(T$2/100)*S123), "")</f>
        <v>2537.4708333333333</v>
      </c>
      <c r="S123" s="255">
        <f>IF(K123&gt;0, DAYS360(J123,T$3)/360, "")</f>
        <v>0.7055555555555556</v>
      </c>
    </row>
    <row r="124" spans="1:19" ht="19.7" customHeight="1">
      <c r="A124" s="289" t="s">
        <v>576</v>
      </c>
      <c r="B124" s="590" t="s">
        <v>577</v>
      </c>
      <c r="C124" s="589"/>
      <c r="D124" s="589"/>
      <c r="E124" s="589"/>
      <c r="F124" s="589"/>
      <c r="G124" s="591"/>
      <c r="H124" s="251" t="s">
        <v>578</v>
      </c>
      <c r="I124" s="252" t="s">
        <v>433</v>
      </c>
      <c r="J124" s="251">
        <v>41334</v>
      </c>
      <c r="K124" s="269">
        <v>6470</v>
      </c>
      <c r="L124" s="590" t="s">
        <v>356</v>
      </c>
      <c r="M124" s="589"/>
      <c r="N124" s="589"/>
      <c r="O124" s="589"/>
      <c r="P124" s="591"/>
      <c r="R124" s="254">
        <f t="shared" ref="R124" si="4">IF(J124&gt;0, K124*(1+(T$2/100)*S124), "")</f>
        <v>7611.2361111111113</v>
      </c>
      <c r="S124" s="255">
        <f t="shared" ref="S124" si="5">IF(K124&gt;0, DAYS360(J124,T$3)/360, "")</f>
        <v>0.7055555555555556</v>
      </c>
    </row>
    <row r="125" spans="1:19" ht="19.7" customHeight="1">
      <c r="A125" s="289"/>
      <c r="B125" s="290" t="s">
        <v>486</v>
      </c>
      <c r="C125" s="291"/>
      <c r="D125" s="291"/>
      <c r="E125" s="291"/>
      <c r="F125" s="291"/>
      <c r="G125" s="292"/>
      <c r="H125" s="251"/>
      <c r="I125" s="252"/>
      <c r="J125" s="251"/>
      <c r="K125" s="269"/>
      <c r="L125" s="293"/>
      <c r="M125" s="291"/>
      <c r="N125" s="291"/>
      <c r="O125" s="291"/>
      <c r="P125" s="292"/>
      <c r="R125" s="254"/>
      <c r="S125" s="255"/>
    </row>
    <row r="126" spans="1:19" ht="19.7" customHeight="1">
      <c r="A126" s="289" t="s">
        <v>574</v>
      </c>
      <c r="B126" s="590" t="s">
        <v>579</v>
      </c>
      <c r="C126" s="589"/>
      <c r="D126" s="589"/>
      <c r="E126" s="589"/>
      <c r="F126" s="589"/>
      <c r="G126" s="591"/>
      <c r="H126" s="251" t="s">
        <v>580</v>
      </c>
      <c r="I126" s="252" t="s">
        <v>433</v>
      </c>
      <c r="J126" s="251">
        <v>41334</v>
      </c>
      <c r="K126" s="269">
        <v>511</v>
      </c>
      <c r="L126" s="590" t="s">
        <v>356</v>
      </c>
      <c r="M126" s="589"/>
      <c r="N126" s="589"/>
      <c r="O126" s="589"/>
      <c r="P126" s="591"/>
      <c r="R126" s="254">
        <f t="shared" si="2"/>
        <v>601.13472222222219</v>
      </c>
      <c r="S126" s="255">
        <f t="shared" si="3"/>
        <v>0.7055555555555556</v>
      </c>
    </row>
    <row r="127" spans="1:19" ht="19.7" customHeight="1">
      <c r="A127" s="289" t="s">
        <v>576</v>
      </c>
      <c r="B127" s="590" t="s">
        <v>581</v>
      </c>
      <c r="C127" s="589"/>
      <c r="D127" s="589"/>
      <c r="E127" s="589"/>
      <c r="F127" s="589"/>
      <c r="G127" s="591"/>
      <c r="H127" s="251" t="s">
        <v>580</v>
      </c>
      <c r="I127" s="252" t="s">
        <v>433</v>
      </c>
      <c r="J127" s="251">
        <v>41334</v>
      </c>
      <c r="K127" s="269">
        <v>2418.6999999999998</v>
      </c>
      <c r="L127" s="590" t="s">
        <v>356</v>
      </c>
      <c r="M127" s="589"/>
      <c r="N127" s="589"/>
      <c r="O127" s="589"/>
      <c r="P127" s="591"/>
      <c r="R127" s="254">
        <f t="shared" si="2"/>
        <v>2845.3318055555555</v>
      </c>
      <c r="S127" s="255">
        <f t="shared" si="3"/>
        <v>0.7055555555555556</v>
      </c>
    </row>
    <row r="128" spans="1:19" s="294" customFormat="1" ht="19.7" customHeight="1">
      <c r="A128" s="289" t="s">
        <v>582</v>
      </c>
      <c r="B128" s="590" t="s">
        <v>583</v>
      </c>
      <c r="C128" s="589"/>
      <c r="D128" s="589"/>
      <c r="E128" s="589"/>
      <c r="F128" s="589"/>
      <c r="G128" s="591"/>
      <c r="H128" s="251"/>
      <c r="I128" s="252" t="s">
        <v>4</v>
      </c>
      <c r="J128" s="251">
        <v>41409</v>
      </c>
      <c r="K128" s="269">
        <f>8900/2.5</f>
        <v>3560</v>
      </c>
      <c r="L128" s="590" t="s">
        <v>356</v>
      </c>
      <c r="M128" s="589"/>
      <c r="N128" s="589"/>
      <c r="O128" s="589"/>
      <c r="P128" s="591"/>
      <c r="R128" s="254">
        <f t="shared" si="2"/>
        <v>4005</v>
      </c>
      <c r="S128" s="255">
        <f t="shared" si="3"/>
        <v>0.5</v>
      </c>
    </row>
    <row r="129" spans="1:19" ht="19.7" customHeight="1">
      <c r="A129" s="289"/>
      <c r="B129" s="290" t="s">
        <v>584</v>
      </c>
      <c r="C129" s="291"/>
      <c r="D129" s="291"/>
      <c r="E129" s="291"/>
      <c r="F129" s="291"/>
      <c r="G129" s="292"/>
      <c r="H129" s="251"/>
      <c r="I129" s="252"/>
      <c r="J129" s="251"/>
      <c r="K129" s="269"/>
      <c r="L129" s="293"/>
      <c r="M129" s="291"/>
      <c r="N129" s="291"/>
      <c r="O129" s="291"/>
      <c r="P129" s="292"/>
      <c r="R129" s="254" t="str">
        <f t="shared" si="2"/>
        <v/>
      </c>
      <c r="S129" s="255" t="str">
        <f t="shared" si="3"/>
        <v/>
      </c>
    </row>
    <row r="130" spans="1:19" ht="19.7" customHeight="1">
      <c r="A130" s="289" t="s">
        <v>585</v>
      </c>
      <c r="B130" s="590" t="s">
        <v>586</v>
      </c>
      <c r="C130" s="589"/>
      <c r="D130" s="589"/>
      <c r="E130" s="589"/>
      <c r="F130" s="589"/>
      <c r="G130" s="591"/>
      <c r="H130" s="251" t="s">
        <v>587</v>
      </c>
      <c r="I130" s="252" t="s">
        <v>433</v>
      </c>
      <c r="J130" s="251">
        <v>41334</v>
      </c>
      <c r="K130" s="269">
        <f>588.45*T1</f>
        <v>3471.8550000000005</v>
      </c>
      <c r="L130" s="590" t="s">
        <v>356</v>
      </c>
      <c r="M130" s="589"/>
      <c r="N130" s="589"/>
      <c r="O130" s="589"/>
      <c r="P130" s="591"/>
      <c r="R130" s="254">
        <f t="shared" si="2"/>
        <v>4084.2516458333339</v>
      </c>
      <c r="S130" s="255">
        <f t="shared" si="3"/>
        <v>0.7055555555555556</v>
      </c>
    </row>
    <row r="131" spans="1:19" ht="19.7" customHeight="1">
      <c r="A131" s="289" t="s">
        <v>588</v>
      </c>
      <c r="B131" s="590" t="s">
        <v>589</v>
      </c>
      <c r="C131" s="589"/>
      <c r="D131" s="589"/>
      <c r="E131" s="589"/>
      <c r="F131" s="589"/>
      <c r="G131" s="591"/>
      <c r="H131" s="251" t="s">
        <v>587</v>
      </c>
      <c r="I131" s="252" t="s">
        <v>433</v>
      </c>
      <c r="J131" s="251">
        <v>41334</v>
      </c>
      <c r="K131" s="269">
        <f>482.99*T1</f>
        <v>2849.6410000000001</v>
      </c>
      <c r="L131" s="590" t="s">
        <v>356</v>
      </c>
      <c r="M131" s="589"/>
      <c r="N131" s="589"/>
      <c r="O131" s="589"/>
      <c r="P131" s="591"/>
      <c r="R131" s="254">
        <f t="shared" si="2"/>
        <v>3352.2860097222224</v>
      </c>
      <c r="S131" s="255">
        <f t="shared" si="3"/>
        <v>0.7055555555555556</v>
      </c>
    </row>
    <row r="132" spans="1:19" ht="19.7" customHeight="1">
      <c r="A132" s="289"/>
      <c r="B132" s="290" t="s">
        <v>590</v>
      </c>
      <c r="C132" s="291"/>
      <c r="D132" s="291"/>
      <c r="E132" s="291"/>
      <c r="F132" s="291"/>
      <c r="G132" s="292"/>
      <c r="H132" s="251"/>
      <c r="I132" s="252"/>
      <c r="J132" s="251"/>
      <c r="K132" s="269"/>
      <c r="L132" s="293"/>
      <c r="M132" s="291"/>
      <c r="N132" s="291"/>
      <c r="O132" s="291"/>
      <c r="P132" s="292"/>
      <c r="R132" s="254"/>
      <c r="S132" s="255"/>
    </row>
    <row r="133" spans="1:19" ht="19.7" customHeight="1">
      <c r="A133" s="289" t="s">
        <v>582</v>
      </c>
      <c r="B133" s="590" t="s">
        <v>591</v>
      </c>
      <c r="C133" s="589"/>
      <c r="D133" s="589"/>
      <c r="E133" s="589"/>
      <c r="F133" s="589"/>
      <c r="G133" s="591"/>
      <c r="H133" s="251"/>
      <c r="I133" s="252" t="s">
        <v>433</v>
      </c>
      <c r="J133" s="251">
        <v>41388</v>
      </c>
      <c r="K133" s="269">
        <v>830</v>
      </c>
      <c r="L133" s="590" t="s">
        <v>382</v>
      </c>
      <c r="M133" s="589"/>
      <c r="N133" s="589"/>
      <c r="O133" s="589"/>
      <c r="P133" s="591"/>
      <c r="R133" s="254">
        <f t="shared" si="2"/>
        <v>945.85416666666674</v>
      </c>
      <c r="S133" s="255">
        <f t="shared" si="3"/>
        <v>0.55833333333333335</v>
      </c>
    </row>
    <row r="134" spans="1:19" ht="19.7" customHeight="1">
      <c r="A134" s="289" t="s">
        <v>585</v>
      </c>
      <c r="B134" s="590" t="s">
        <v>592</v>
      </c>
      <c r="C134" s="589"/>
      <c r="D134" s="589"/>
      <c r="E134" s="589"/>
      <c r="F134" s="589"/>
      <c r="G134" s="591"/>
      <c r="H134" s="251"/>
      <c r="I134" s="252" t="s">
        <v>409</v>
      </c>
      <c r="J134" s="251">
        <v>41409</v>
      </c>
      <c r="K134" s="269">
        <f>5.6*T1</f>
        <v>33.04</v>
      </c>
      <c r="L134" s="590" t="s">
        <v>356</v>
      </c>
      <c r="M134" s="589"/>
      <c r="N134" s="589"/>
      <c r="O134" s="589"/>
      <c r="P134" s="591"/>
      <c r="R134" s="254">
        <f t="shared" si="2"/>
        <v>37.17</v>
      </c>
      <c r="S134" s="255">
        <f t="shared" si="3"/>
        <v>0.5</v>
      </c>
    </row>
    <row r="135" spans="1:19" ht="19.7" customHeight="1">
      <c r="A135" s="295"/>
      <c r="B135" s="593"/>
      <c r="C135" s="592"/>
      <c r="D135" s="592"/>
      <c r="E135" s="592"/>
      <c r="F135" s="592"/>
      <c r="G135" s="594"/>
      <c r="H135" s="273"/>
      <c r="I135" s="286"/>
      <c r="J135" s="273"/>
      <c r="K135" s="274"/>
      <c r="L135" s="601"/>
      <c r="M135" s="602"/>
      <c r="N135" s="602"/>
      <c r="O135" s="602"/>
      <c r="P135" s="603"/>
      <c r="R135" s="254" t="str">
        <f t="shared" si="2"/>
        <v/>
      </c>
      <c r="S135" s="255" t="str">
        <f t="shared" si="3"/>
        <v/>
      </c>
    </row>
    <row r="136" spans="1:19" ht="19.7" customHeight="1">
      <c r="A136" s="234" t="s">
        <v>593</v>
      </c>
      <c r="B136" s="235" t="s">
        <v>594</v>
      </c>
      <c r="C136" s="235"/>
      <c r="D136" s="235"/>
      <c r="E136" s="235"/>
      <c r="F136" s="235"/>
      <c r="G136" s="235"/>
      <c r="H136" s="236"/>
      <c r="I136" s="236"/>
      <c r="J136" s="237"/>
      <c r="K136" s="275"/>
      <c r="L136" s="239"/>
      <c r="M136" s="239"/>
      <c r="N136" s="239"/>
      <c r="O136" s="239"/>
      <c r="P136" s="240"/>
      <c r="R136" s="254" t="str">
        <f t="shared" si="2"/>
        <v/>
      </c>
      <c r="S136" s="255" t="str">
        <f t="shared" si="3"/>
        <v/>
      </c>
    </row>
    <row r="137" spans="1:19" ht="19.7" customHeight="1">
      <c r="A137" s="276" t="s">
        <v>595</v>
      </c>
      <c r="B137" s="587" t="s">
        <v>596</v>
      </c>
      <c r="C137" s="586"/>
      <c r="D137" s="586"/>
      <c r="E137" s="586"/>
      <c r="F137" s="586"/>
      <c r="G137" s="588"/>
      <c r="H137" s="243"/>
      <c r="I137" s="265" t="s">
        <v>3</v>
      </c>
      <c r="J137" s="243">
        <v>41358</v>
      </c>
      <c r="K137" s="266">
        <v>229.76</v>
      </c>
      <c r="L137" s="587" t="s">
        <v>363</v>
      </c>
      <c r="M137" s="586"/>
      <c r="N137" s="586"/>
      <c r="O137" s="586"/>
      <c r="P137" s="588"/>
      <c r="R137" s="254">
        <f t="shared" si="2"/>
        <v>266.45777777777778</v>
      </c>
      <c r="S137" s="255">
        <f t="shared" si="3"/>
        <v>0.63888888888888884</v>
      </c>
    </row>
    <row r="138" spans="1:19" ht="19.7" customHeight="1">
      <c r="A138" s="278" t="s">
        <v>597</v>
      </c>
      <c r="B138" s="590" t="s">
        <v>598</v>
      </c>
      <c r="C138" s="589"/>
      <c r="D138" s="589"/>
      <c r="E138" s="589"/>
      <c r="F138" s="589"/>
      <c r="G138" s="591"/>
      <c r="H138" s="251" t="s">
        <v>599</v>
      </c>
      <c r="I138" s="268" t="s">
        <v>3</v>
      </c>
      <c r="J138" s="251">
        <v>41334</v>
      </c>
      <c r="K138" s="269">
        <v>564.62</v>
      </c>
      <c r="L138" s="590" t="s">
        <v>356</v>
      </c>
      <c r="M138" s="589"/>
      <c r="N138" s="589"/>
      <c r="O138" s="589"/>
      <c r="P138" s="591"/>
      <c r="R138" s="254">
        <f t="shared" si="2"/>
        <v>664.21269444444442</v>
      </c>
      <c r="S138" s="255">
        <f t="shared" si="3"/>
        <v>0.7055555555555556</v>
      </c>
    </row>
    <row r="139" spans="1:19" ht="19.7" customHeight="1">
      <c r="A139" s="278" t="s">
        <v>600</v>
      </c>
      <c r="B139" s="590" t="s">
        <v>601</v>
      </c>
      <c r="C139" s="589"/>
      <c r="D139" s="589"/>
      <c r="E139" s="589"/>
      <c r="F139" s="589"/>
      <c r="G139" s="591"/>
      <c r="H139" s="251" t="s">
        <v>602</v>
      </c>
      <c r="I139" s="268" t="s">
        <v>3</v>
      </c>
      <c r="J139" s="251">
        <v>41395</v>
      </c>
      <c r="K139" s="269">
        <v>210.9</v>
      </c>
      <c r="L139" s="590" t="s">
        <v>356</v>
      </c>
      <c r="M139" s="589"/>
      <c r="N139" s="589"/>
      <c r="O139" s="589"/>
      <c r="P139" s="591"/>
      <c r="R139" s="254">
        <f t="shared" si="2"/>
        <v>239.31291666666667</v>
      </c>
      <c r="S139" s="255">
        <f t="shared" si="3"/>
        <v>0.53888888888888886</v>
      </c>
    </row>
    <row r="140" spans="1:19" ht="19.7" customHeight="1">
      <c r="A140" s="278" t="s">
        <v>603</v>
      </c>
      <c r="B140" s="590" t="s">
        <v>604</v>
      </c>
      <c r="C140" s="589"/>
      <c r="D140" s="589"/>
      <c r="E140" s="589"/>
      <c r="F140" s="589"/>
      <c r="G140" s="591"/>
      <c r="H140" s="251" t="s">
        <v>605</v>
      </c>
      <c r="I140" s="268" t="s">
        <v>3</v>
      </c>
      <c r="J140" s="251">
        <v>41334</v>
      </c>
      <c r="K140" s="269">
        <v>111.65</v>
      </c>
      <c r="L140" s="590" t="s">
        <v>356</v>
      </c>
      <c r="M140" s="589"/>
      <c r="N140" s="589"/>
      <c r="O140" s="589"/>
      <c r="P140" s="591"/>
      <c r="R140" s="254">
        <f t="shared" si="2"/>
        <v>131.34381944444445</v>
      </c>
      <c r="S140" s="255">
        <f t="shared" si="3"/>
        <v>0.7055555555555556</v>
      </c>
    </row>
    <row r="141" spans="1:19" ht="19.7" customHeight="1">
      <c r="A141" s="278" t="s">
        <v>606</v>
      </c>
      <c r="B141" s="590" t="s">
        <v>607</v>
      </c>
      <c r="C141" s="589"/>
      <c r="D141" s="589"/>
      <c r="E141" s="589"/>
      <c r="F141" s="589"/>
      <c r="G141" s="591"/>
      <c r="H141" s="251" t="s">
        <v>605</v>
      </c>
      <c r="I141" s="268" t="s">
        <v>3</v>
      </c>
      <c r="J141" s="251">
        <v>41334</v>
      </c>
      <c r="K141" s="269">
        <v>558.24</v>
      </c>
      <c r="L141" s="590" t="s">
        <v>356</v>
      </c>
      <c r="M141" s="589"/>
      <c r="N141" s="589"/>
      <c r="O141" s="589"/>
      <c r="P141" s="591"/>
      <c r="R141" s="254">
        <f t="shared" si="2"/>
        <v>656.70733333333339</v>
      </c>
      <c r="S141" s="255">
        <f t="shared" si="3"/>
        <v>0.7055555555555556</v>
      </c>
    </row>
    <row r="142" spans="1:19" ht="19.7" customHeight="1">
      <c r="A142" s="278" t="s">
        <v>608</v>
      </c>
      <c r="B142" s="590" t="s">
        <v>609</v>
      </c>
      <c r="C142" s="589"/>
      <c r="D142" s="589"/>
      <c r="E142" s="589"/>
      <c r="F142" s="589"/>
      <c r="G142" s="591"/>
      <c r="H142" s="251" t="s">
        <v>610</v>
      </c>
      <c r="I142" s="268" t="s">
        <v>3</v>
      </c>
      <c r="J142" s="251">
        <v>41334</v>
      </c>
      <c r="K142" s="269">
        <v>72.72</v>
      </c>
      <c r="L142" s="590" t="s">
        <v>356</v>
      </c>
      <c r="M142" s="589"/>
      <c r="N142" s="589"/>
      <c r="O142" s="589"/>
      <c r="P142" s="591"/>
      <c r="R142" s="254">
        <f t="shared" si="2"/>
        <v>85.546999999999997</v>
      </c>
      <c r="S142" s="255">
        <f t="shared" si="3"/>
        <v>0.7055555555555556</v>
      </c>
    </row>
    <row r="143" spans="1:19" ht="19.7" customHeight="1">
      <c r="A143" s="278" t="s">
        <v>611</v>
      </c>
      <c r="B143" s="590" t="s">
        <v>612</v>
      </c>
      <c r="C143" s="589"/>
      <c r="D143" s="589"/>
      <c r="E143" s="589"/>
      <c r="F143" s="589"/>
      <c r="G143" s="591"/>
      <c r="H143" s="251" t="s">
        <v>610</v>
      </c>
      <c r="I143" s="268" t="s">
        <v>3</v>
      </c>
      <c r="J143" s="251">
        <v>41334</v>
      </c>
      <c r="K143" s="269">
        <v>302.29000000000002</v>
      </c>
      <c r="L143" s="590" t="s">
        <v>356</v>
      </c>
      <c r="M143" s="589"/>
      <c r="N143" s="589"/>
      <c r="O143" s="589"/>
      <c r="P143" s="591"/>
      <c r="R143" s="254">
        <f t="shared" si="2"/>
        <v>355.61059722222228</v>
      </c>
      <c r="S143" s="255">
        <f t="shared" si="3"/>
        <v>0.7055555555555556</v>
      </c>
    </row>
    <row r="144" spans="1:19" ht="19.7" customHeight="1">
      <c r="A144" s="278" t="s">
        <v>613</v>
      </c>
      <c r="B144" s="590" t="s">
        <v>614</v>
      </c>
      <c r="C144" s="589"/>
      <c r="D144" s="589"/>
      <c r="E144" s="589"/>
      <c r="F144" s="589"/>
      <c r="G144" s="591"/>
      <c r="H144" s="251" t="s">
        <v>610</v>
      </c>
      <c r="I144" s="268" t="s">
        <v>3</v>
      </c>
      <c r="J144" s="251">
        <v>41334</v>
      </c>
      <c r="K144" s="269">
        <v>87.73</v>
      </c>
      <c r="L144" s="590" t="s">
        <v>356</v>
      </c>
      <c r="M144" s="589"/>
      <c r="N144" s="589"/>
      <c r="O144" s="589"/>
      <c r="P144" s="591"/>
      <c r="R144" s="254">
        <f t="shared" si="2"/>
        <v>103.20459722222223</v>
      </c>
      <c r="S144" s="255">
        <f t="shared" si="3"/>
        <v>0.7055555555555556</v>
      </c>
    </row>
    <row r="145" spans="1:19" ht="19.7" customHeight="1">
      <c r="A145" s="278" t="s">
        <v>615</v>
      </c>
      <c r="B145" s="590" t="s">
        <v>616</v>
      </c>
      <c r="C145" s="589"/>
      <c r="D145" s="589"/>
      <c r="E145" s="589"/>
      <c r="F145" s="589"/>
      <c r="G145" s="591"/>
      <c r="H145" s="251" t="s">
        <v>610</v>
      </c>
      <c r="I145" s="268" t="s">
        <v>3</v>
      </c>
      <c r="J145" s="251">
        <v>41334</v>
      </c>
      <c r="K145" s="269">
        <v>378.27</v>
      </c>
      <c r="L145" s="590" t="s">
        <v>356</v>
      </c>
      <c r="M145" s="589"/>
      <c r="N145" s="589"/>
      <c r="O145" s="589"/>
      <c r="P145" s="591"/>
      <c r="R145" s="254">
        <f t="shared" si="2"/>
        <v>444.99262499999998</v>
      </c>
      <c r="S145" s="255">
        <f t="shared" si="3"/>
        <v>0.7055555555555556</v>
      </c>
    </row>
    <row r="146" spans="1:19" ht="19.7" customHeight="1">
      <c r="A146" s="278" t="s">
        <v>617</v>
      </c>
      <c r="B146" s="590" t="s">
        <v>618</v>
      </c>
      <c r="C146" s="589"/>
      <c r="D146" s="589"/>
      <c r="E146" s="589"/>
      <c r="F146" s="589"/>
      <c r="G146" s="591"/>
      <c r="H146" s="251" t="s">
        <v>619</v>
      </c>
      <c r="I146" s="268" t="s">
        <v>3</v>
      </c>
      <c r="J146" s="251">
        <v>41394</v>
      </c>
      <c r="K146" s="269">
        <v>638</v>
      </c>
      <c r="L146" s="590" t="s">
        <v>363</v>
      </c>
      <c r="M146" s="589"/>
      <c r="N146" s="589"/>
      <c r="O146" s="589"/>
      <c r="P146" s="591"/>
      <c r="R146" s="254">
        <f t="shared" si="2"/>
        <v>724.39583333333337</v>
      </c>
      <c r="S146" s="255">
        <f t="shared" si="3"/>
        <v>0.54166666666666663</v>
      </c>
    </row>
    <row r="147" spans="1:19" ht="19.7" customHeight="1">
      <c r="A147" s="278" t="s">
        <v>620</v>
      </c>
      <c r="B147" s="590" t="s">
        <v>621</v>
      </c>
      <c r="C147" s="589"/>
      <c r="D147" s="589"/>
      <c r="E147" s="589"/>
      <c r="F147" s="589"/>
      <c r="G147" s="591"/>
      <c r="H147" s="251" t="s">
        <v>599</v>
      </c>
      <c r="I147" s="268" t="s">
        <v>3</v>
      </c>
      <c r="J147" s="251">
        <v>41334</v>
      </c>
      <c r="K147" s="269">
        <v>116.27</v>
      </c>
      <c r="L147" s="590" t="s">
        <v>356</v>
      </c>
      <c r="M147" s="589"/>
      <c r="N147" s="589"/>
      <c r="O147" s="589"/>
      <c r="P147" s="591"/>
      <c r="R147" s="254">
        <f t="shared" si="2"/>
        <v>136.7787361111111</v>
      </c>
      <c r="S147" s="255">
        <f t="shared" si="3"/>
        <v>0.7055555555555556</v>
      </c>
    </row>
    <row r="148" spans="1:19" ht="19.7" customHeight="1">
      <c r="A148" s="278" t="s">
        <v>622</v>
      </c>
      <c r="B148" s="590" t="s">
        <v>623</v>
      </c>
      <c r="C148" s="589"/>
      <c r="D148" s="589"/>
      <c r="E148" s="589"/>
      <c r="F148" s="589"/>
      <c r="G148" s="591"/>
      <c r="H148" s="251" t="s">
        <v>599</v>
      </c>
      <c r="I148" s="268" t="s">
        <v>3</v>
      </c>
      <c r="J148" s="251">
        <v>41334</v>
      </c>
      <c r="K148" s="269">
        <v>492.94</v>
      </c>
      <c r="L148" s="590" t="s">
        <v>356</v>
      </c>
      <c r="M148" s="589"/>
      <c r="N148" s="589"/>
      <c r="O148" s="589"/>
      <c r="P148" s="591"/>
      <c r="R148" s="254">
        <f t="shared" si="2"/>
        <v>579.88913888888885</v>
      </c>
      <c r="S148" s="255">
        <f t="shared" si="3"/>
        <v>0.7055555555555556</v>
      </c>
    </row>
    <row r="149" spans="1:19" ht="19.7" customHeight="1">
      <c r="A149" s="278" t="s">
        <v>624</v>
      </c>
      <c r="B149" s="590" t="s">
        <v>625</v>
      </c>
      <c r="C149" s="589"/>
      <c r="D149" s="589"/>
      <c r="E149" s="589"/>
      <c r="F149" s="589"/>
      <c r="G149" s="591"/>
      <c r="H149" s="251" t="s">
        <v>626</v>
      </c>
      <c r="I149" s="268" t="s">
        <v>3</v>
      </c>
      <c r="J149" s="251">
        <v>41386</v>
      </c>
      <c r="K149" s="269">
        <v>150</v>
      </c>
      <c r="L149" s="590" t="s">
        <v>382</v>
      </c>
      <c r="M149" s="589"/>
      <c r="N149" s="589"/>
      <c r="O149" s="589"/>
      <c r="P149" s="591"/>
      <c r="R149" s="254">
        <f t="shared" si="2"/>
        <v>171.14583333333334</v>
      </c>
      <c r="S149" s="255">
        <f t="shared" si="3"/>
        <v>0.56388888888888888</v>
      </c>
    </row>
    <row r="150" spans="1:19" ht="19.7" customHeight="1">
      <c r="A150" s="278" t="s">
        <v>627</v>
      </c>
      <c r="B150" s="590" t="s">
        <v>628</v>
      </c>
      <c r="C150" s="589"/>
      <c r="D150" s="589"/>
      <c r="E150" s="589"/>
      <c r="F150" s="589"/>
      <c r="G150" s="591"/>
      <c r="H150" s="251"/>
      <c r="I150" s="268" t="s">
        <v>3</v>
      </c>
      <c r="J150" s="251">
        <v>41394</v>
      </c>
      <c r="K150" s="269">
        <v>85.95</v>
      </c>
      <c r="L150" s="590" t="s">
        <v>363</v>
      </c>
      <c r="M150" s="589"/>
      <c r="N150" s="589"/>
      <c r="O150" s="589"/>
      <c r="P150" s="591"/>
      <c r="R150" s="254">
        <f t="shared" si="2"/>
        <v>97.589062500000011</v>
      </c>
      <c r="S150" s="255">
        <f t="shared" si="3"/>
        <v>0.54166666666666663</v>
      </c>
    </row>
    <row r="151" spans="1:19" ht="19.7" customHeight="1">
      <c r="A151" s="278" t="s">
        <v>629</v>
      </c>
      <c r="B151" s="590" t="s">
        <v>630</v>
      </c>
      <c r="C151" s="589"/>
      <c r="D151" s="589"/>
      <c r="E151" s="589"/>
      <c r="F151" s="589"/>
      <c r="G151" s="591"/>
      <c r="H151" s="251"/>
      <c r="I151" s="268" t="s">
        <v>3</v>
      </c>
      <c r="J151" s="251">
        <v>41409</v>
      </c>
      <c r="K151" s="269">
        <v>96.24</v>
      </c>
      <c r="L151" s="590" t="s">
        <v>356</v>
      </c>
      <c r="M151" s="589"/>
      <c r="N151" s="589"/>
      <c r="O151" s="589"/>
      <c r="P151" s="591"/>
      <c r="R151" s="254">
        <f>IF(J151&gt;0, K151*(1+(T$2/100)*S151), "")</f>
        <v>108.27</v>
      </c>
      <c r="S151" s="255">
        <f>IF(K151&gt;0, DAYS360(J151,T$3)/360, "")</f>
        <v>0.5</v>
      </c>
    </row>
    <row r="152" spans="1:19" ht="19.7" customHeight="1">
      <c r="A152" s="278" t="s">
        <v>631</v>
      </c>
      <c r="B152" s="590" t="s">
        <v>632</v>
      </c>
      <c r="C152" s="589"/>
      <c r="D152" s="589"/>
      <c r="E152" s="589"/>
      <c r="F152" s="589"/>
      <c r="G152" s="591"/>
      <c r="H152" s="251"/>
      <c r="I152" s="268" t="s">
        <v>3</v>
      </c>
      <c r="J152" s="251">
        <v>41409</v>
      </c>
      <c r="K152" s="269">
        <v>481.24</v>
      </c>
      <c r="L152" s="590" t="s">
        <v>356</v>
      </c>
      <c r="M152" s="589"/>
      <c r="N152" s="589"/>
      <c r="O152" s="589"/>
      <c r="P152" s="591"/>
      <c r="R152" s="254">
        <f>IF(J152&gt;0, K152*(1+(T$2/100)*S152), "")</f>
        <v>541.39499999999998</v>
      </c>
      <c r="S152" s="255">
        <f>IF(K152&gt;0, DAYS360(J152,T$3)/360, "")</f>
        <v>0.5</v>
      </c>
    </row>
    <row r="153" spans="1:19" ht="19.7" customHeight="1">
      <c r="A153" s="278" t="s">
        <v>633</v>
      </c>
      <c r="B153" s="590" t="s">
        <v>634</v>
      </c>
      <c r="C153" s="589"/>
      <c r="D153" s="589"/>
      <c r="E153" s="589"/>
      <c r="F153" s="589"/>
      <c r="G153" s="591"/>
      <c r="H153" s="251" t="s">
        <v>635</v>
      </c>
      <c r="I153" s="268" t="s">
        <v>391</v>
      </c>
      <c r="J153" s="251">
        <v>41519</v>
      </c>
      <c r="K153" s="269">
        <v>245</v>
      </c>
      <c r="L153" s="590" t="s">
        <v>382</v>
      </c>
      <c r="M153" s="589"/>
      <c r="N153" s="589"/>
      <c r="O153" s="589"/>
      <c r="P153" s="591"/>
      <c r="R153" s="254">
        <f>IF(J153&gt;0, K153*(1+(T$2/100)*S153), "")</f>
        <v>257.42013888888886</v>
      </c>
      <c r="S153" s="255">
        <f>IF(K153&gt;0, DAYS360(J153,T$3)/360, "")</f>
        <v>0.20277777777777778</v>
      </c>
    </row>
    <row r="154" spans="1:19" ht="19.7" customHeight="1">
      <c r="A154" s="259"/>
      <c r="B154" s="593"/>
      <c r="C154" s="592"/>
      <c r="D154" s="592"/>
      <c r="E154" s="592"/>
      <c r="F154" s="592"/>
      <c r="G154" s="594"/>
      <c r="H154" s="273"/>
      <c r="I154" s="272"/>
      <c r="J154" s="273"/>
      <c r="K154" s="274"/>
      <c r="L154" s="593"/>
      <c r="M154" s="592"/>
      <c r="N154" s="592"/>
      <c r="O154" s="592"/>
      <c r="P154" s="594"/>
      <c r="R154" s="254" t="str">
        <f t="shared" si="2"/>
        <v/>
      </c>
      <c r="S154" s="255" t="str">
        <f t="shared" si="3"/>
        <v/>
      </c>
    </row>
    <row r="155" spans="1:19" ht="19.7" customHeight="1">
      <c r="A155" s="234" t="s">
        <v>636</v>
      </c>
      <c r="B155" s="235" t="s">
        <v>637</v>
      </c>
      <c r="C155" s="235"/>
      <c r="D155" s="235"/>
      <c r="E155" s="235"/>
      <c r="F155" s="235"/>
      <c r="G155" s="235"/>
      <c r="H155" s="236"/>
      <c r="I155" s="236"/>
      <c r="J155" s="237"/>
      <c r="K155" s="275"/>
      <c r="L155" s="239"/>
      <c r="M155" s="239"/>
      <c r="N155" s="239"/>
      <c r="O155" s="239"/>
      <c r="P155" s="240"/>
      <c r="R155" s="254" t="str">
        <f t="shared" si="2"/>
        <v/>
      </c>
      <c r="S155" s="255" t="str">
        <f t="shared" si="3"/>
        <v/>
      </c>
    </row>
    <row r="156" spans="1:19" ht="19.7" customHeight="1">
      <c r="A156" s="276" t="s">
        <v>638</v>
      </c>
      <c r="B156" s="586" t="s">
        <v>639</v>
      </c>
      <c r="C156" s="586"/>
      <c r="D156" s="586"/>
      <c r="E156" s="586"/>
      <c r="F156" s="586"/>
      <c r="G156" s="586"/>
      <c r="H156" s="243"/>
      <c r="I156" s="265" t="s">
        <v>442</v>
      </c>
      <c r="J156" s="243">
        <v>41334</v>
      </c>
      <c r="K156" s="277">
        <f>108.14</f>
        <v>108.14</v>
      </c>
      <c r="L156" s="587" t="s">
        <v>356</v>
      </c>
      <c r="M156" s="586"/>
      <c r="N156" s="586"/>
      <c r="O156" s="586"/>
      <c r="P156" s="588"/>
      <c r="R156" s="254">
        <f t="shared" si="2"/>
        <v>127.21469444444445</v>
      </c>
      <c r="S156" s="255">
        <f t="shared" si="3"/>
        <v>0.7055555555555556</v>
      </c>
    </row>
    <row r="157" spans="1:19" ht="19.7" customHeight="1">
      <c r="A157" s="278" t="s">
        <v>640</v>
      </c>
      <c r="B157" s="589" t="s">
        <v>641</v>
      </c>
      <c r="C157" s="589"/>
      <c r="D157" s="589"/>
      <c r="E157" s="589"/>
      <c r="F157" s="589"/>
      <c r="G157" s="589"/>
      <c r="H157" s="251"/>
      <c r="I157" s="268" t="s">
        <v>442</v>
      </c>
      <c r="J157" s="251">
        <v>41334</v>
      </c>
      <c r="K157" s="279">
        <f>229.38</f>
        <v>229.38</v>
      </c>
      <c r="L157" s="590" t="s">
        <v>356</v>
      </c>
      <c r="M157" s="589"/>
      <c r="N157" s="589"/>
      <c r="O157" s="589"/>
      <c r="P157" s="591"/>
      <c r="R157" s="254">
        <f t="shared" ref="R157:R250" si="6">IF(J157&gt;0, K157*(1+(T$2/100)*S157), "")</f>
        <v>269.84008333333333</v>
      </c>
      <c r="S157" s="255">
        <f t="shared" ref="S157:S250" si="7">IF(K157&gt;0, DAYS360(J157,T$3)/360, "")</f>
        <v>0.7055555555555556</v>
      </c>
    </row>
    <row r="158" spans="1:19" ht="19.7" customHeight="1">
      <c r="A158" s="278" t="s">
        <v>642</v>
      </c>
      <c r="B158" s="589" t="s">
        <v>643</v>
      </c>
      <c r="C158" s="589"/>
      <c r="D158" s="589"/>
      <c r="E158" s="589"/>
      <c r="F158" s="589"/>
      <c r="G158" s="589"/>
      <c r="H158" s="251"/>
      <c r="I158" s="268" t="s">
        <v>442</v>
      </c>
      <c r="J158" s="251">
        <v>41334</v>
      </c>
      <c r="K158" s="279">
        <f>142.47</f>
        <v>142.47</v>
      </c>
      <c r="L158" s="590" t="s">
        <v>356</v>
      </c>
      <c r="M158" s="589"/>
      <c r="N158" s="589"/>
      <c r="O158" s="589"/>
      <c r="P158" s="591"/>
      <c r="R158" s="254">
        <f t="shared" si="6"/>
        <v>167.60012499999999</v>
      </c>
      <c r="S158" s="255">
        <f t="shared" si="7"/>
        <v>0.7055555555555556</v>
      </c>
    </row>
    <row r="159" spans="1:19" ht="19.7" customHeight="1">
      <c r="A159" s="278" t="s">
        <v>644</v>
      </c>
      <c r="B159" s="589" t="s">
        <v>645</v>
      </c>
      <c r="C159" s="589"/>
      <c r="D159" s="589"/>
      <c r="E159" s="589"/>
      <c r="F159" s="589"/>
      <c r="G159" s="589"/>
      <c r="H159" s="251"/>
      <c r="I159" s="268" t="s">
        <v>442</v>
      </c>
      <c r="J159" s="251">
        <v>41334</v>
      </c>
      <c r="K159" s="279">
        <f>540.57</f>
        <v>540.57000000000005</v>
      </c>
      <c r="L159" s="590" t="s">
        <v>356</v>
      </c>
      <c r="M159" s="589"/>
      <c r="N159" s="589"/>
      <c r="O159" s="589"/>
      <c r="P159" s="591"/>
      <c r="R159" s="254">
        <f t="shared" si="6"/>
        <v>635.92054166666674</v>
      </c>
      <c r="S159" s="255">
        <f t="shared" si="7"/>
        <v>0.7055555555555556</v>
      </c>
    </row>
    <row r="160" spans="1:19" ht="19.7" customHeight="1">
      <c r="A160" s="278" t="s">
        <v>646</v>
      </c>
      <c r="B160" s="589" t="s">
        <v>647</v>
      </c>
      <c r="C160" s="589"/>
      <c r="D160" s="589"/>
      <c r="E160" s="589"/>
      <c r="F160" s="589"/>
      <c r="G160" s="589"/>
      <c r="H160" s="251"/>
      <c r="I160" s="268" t="s">
        <v>442</v>
      </c>
      <c r="J160" s="251">
        <v>41334</v>
      </c>
      <c r="K160" s="279">
        <f>345</f>
        <v>345</v>
      </c>
      <c r="L160" s="590" t="s">
        <v>356</v>
      </c>
      <c r="M160" s="589"/>
      <c r="N160" s="589"/>
      <c r="O160" s="589"/>
      <c r="P160" s="591"/>
      <c r="R160" s="254">
        <f t="shared" si="6"/>
        <v>405.85416666666669</v>
      </c>
      <c r="S160" s="255">
        <f t="shared" si="7"/>
        <v>0.7055555555555556</v>
      </c>
    </row>
    <row r="161" spans="1:19" ht="19.7" customHeight="1">
      <c r="A161" s="278" t="s">
        <v>648</v>
      </c>
      <c r="B161" s="589" t="s">
        <v>649</v>
      </c>
      <c r="C161" s="589"/>
      <c r="D161" s="589"/>
      <c r="E161" s="589"/>
      <c r="F161" s="589"/>
      <c r="G161" s="589"/>
      <c r="H161" s="251"/>
      <c r="I161" s="268" t="s">
        <v>442</v>
      </c>
      <c r="J161" s="251">
        <v>41409</v>
      </c>
      <c r="K161" s="279">
        <v>708.75</v>
      </c>
      <c r="L161" s="590" t="s">
        <v>356</v>
      </c>
      <c r="M161" s="589"/>
      <c r="N161" s="589"/>
      <c r="O161" s="589"/>
      <c r="P161" s="591"/>
      <c r="R161" s="254">
        <f t="shared" si="6"/>
        <v>797.34375</v>
      </c>
      <c r="S161" s="255">
        <f t="shared" si="7"/>
        <v>0.5</v>
      </c>
    </row>
    <row r="162" spans="1:19" ht="19.7" customHeight="1">
      <c r="A162" s="278"/>
      <c r="B162" s="589" t="s">
        <v>650</v>
      </c>
      <c r="C162" s="589"/>
      <c r="D162" s="589"/>
      <c r="E162" s="589"/>
      <c r="F162" s="589"/>
      <c r="G162" s="589"/>
      <c r="H162" s="251"/>
      <c r="I162" s="268" t="s">
        <v>442</v>
      </c>
      <c r="J162" s="251">
        <v>41409</v>
      </c>
      <c r="K162" s="279">
        <v>348.84</v>
      </c>
      <c r="L162" s="590" t="s">
        <v>356</v>
      </c>
      <c r="M162" s="589"/>
      <c r="N162" s="589"/>
      <c r="O162" s="589"/>
      <c r="P162" s="591"/>
      <c r="R162" s="254">
        <f>IF(J162&gt;0, K162*(1+(T$2/100)*S162), "")</f>
        <v>392.44499999999999</v>
      </c>
      <c r="S162" s="255">
        <f>IF(K162&gt;0, DAYS360(J162,T$3)/360, "")</f>
        <v>0.5</v>
      </c>
    </row>
    <row r="163" spans="1:19" ht="19.7" customHeight="1">
      <c r="A163" s="259"/>
      <c r="B163" s="592"/>
      <c r="C163" s="592"/>
      <c r="D163" s="592"/>
      <c r="E163" s="592"/>
      <c r="F163" s="592"/>
      <c r="G163" s="592"/>
      <c r="H163" s="273"/>
      <c r="I163" s="272"/>
      <c r="J163" s="273"/>
      <c r="K163" s="281"/>
      <c r="L163" s="593"/>
      <c r="M163" s="592"/>
      <c r="N163" s="592"/>
      <c r="O163" s="592"/>
      <c r="P163" s="594"/>
      <c r="R163" s="254" t="str">
        <f t="shared" si="6"/>
        <v/>
      </c>
      <c r="S163" s="255" t="str">
        <f t="shared" si="7"/>
        <v/>
      </c>
    </row>
    <row r="164" spans="1:19" ht="19.7" customHeight="1">
      <c r="A164" s="234" t="s">
        <v>651</v>
      </c>
      <c r="B164" s="235" t="s">
        <v>652</v>
      </c>
      <c r="C164" s="235"/>
      <c r="D164" s="235"/>
      <c r="E164" s="235"/>
      <c r="F164" s="235"/>
      <c r="G164" s="235"/>
      <c r="H164" s="236"/>
      <c r="I164" s="236"/>
      <c r="J164" s="237"/>
      <c r="K164" s="275"/>
      <c r="L164" s="239"/>
      <c r="M164" s="239"/>
      <c r="N164" s="239"/>
      <c r="O164" s="239"/>
      <c r="P164" s="240"/>
      <c r="R164" s="254" t="str">
        <f t="shared" si="6"/>
        <v/>
      </c>
      <c r="S164" s="255" t="str">
        <f t="shared" si="7"/>
        <v/>
      </c>
    </row>
    <row r="165" spans="1:19" ht="19.7" customHeight="1">
      <c r="A165" s="276" t="s">
        <v>653</v>
      </c>
      <c r="B165" s="586" t="s">
        <v>654</v>
      </c>
      <c r="C165" s="586"/>
      <c r="D165" s="586"/>
      <c r="E165" s="586"/>
      <c r="F165" s="586"/>
      <c r="G165" s="586"/>
      <c r="H165" s="243"/>
      <c r="I165" s="296" t="s">
        <v>4</v>
      </c>
      <c r="J165" s="243">
        <v>41394</v>
      </c>
      <c r="K165" s="245">
        <v>1.74</v>
      </c>
      <c r="L165" s="587" t="s">
        <v>363</v>
      </c>
      <c r="M165" s="586"/>
      <c r="N165" s="586"/>
      <c r="O165" s="586"/>
      <c r="P165" s="588"/>
      <c r="R165" s="254">
        <f t="shared" si="6"/>
        <v>1.9756250000000002</v>
      </c>
      <c r="S165" s="255">
        <f t="shared" si="7"/>
        <v>0.54166666666666663</v>
      </c>
    </row>
    <row r="166" spans="1:19" ht="19.7" customHeight="1">
      <c r="A166" s="278" t="s">
        <v>655</v>
      </c>
      <c r="B166" s="589" t="s">
        <v>656</v>
      </c>
      <c r="C166" s="589"/>
      <c r="D166" s="589"/>
      <c r="E166" s="589"/>
      <c r="F166" s="589"/>
      <c r="G166" s="589"/>
      <c r="H166" s="251"/>
      <c r="I166" s="297" t="s">
        <v>4</v>
      </c>
      <c r="J166" s="251">
        <v>41386</v>
      </c>
      <c r="K166" s="253">
        <v>2.73</v>
      </c>
      <c r="L166" s="590" t="s">
        <v>363</v>
      </c>
      <c r="M166" s="589"/>
      <c r="N166" s="589"/>
      <c r="O166" s="589"/>
      <c r="P166" s="591"/>
      <c r="R166" s="254">
        <f t="shared" si="6"/>
        <v>3.1148541666666669</v>
      </c>
      <c r="S166" s="255">
        <f t="shared" si="7"/>
        <v>0.56388888888888888</v>
      </c>
    </row>
    <row r="167" spans="1:19" ht="19.7" customHeight="1">
      <c r="A167" s="278" t="s">
        <v>657</v>
      </c>
      <c r="B167" s="589" t="s">
        <v>658</v>
      </c>
      <c r="C167" s="589"/>
      <c r="D167" s="589"/>
      <c r="E167" s="589"/>
      <c r="F167" s="589"/>
      <c r="G167" s="589"/>
      <c r="H167" s="251"/>
      <c r="I167" s="297" t="s">
        <v>4</v>
      </c>
      <c r="J167" s="251">
        <v>41382</v>
      </c>
      <c r="K167" s="253">
        <v>4.38</v>
      </c>
      <c r="L167" s="590" t="s">
        <v>363</v>
      </c>
      <c r="M167" s="589"/>
      <c r="N167" s="589"/>
      <c r="O167" s="589"/>
      <c r="P167" s="591"/>
      <c r="R167" s="254">
        <f t="shared" si="6"/>
        <v>5.0096249999999998</v>
      </c>
      <c r="S167" s="255">
        <f t="shared" si="7"/>
        <v>0.57499999999999996</v>
      </c>
    </row>
    <row r="168" spans="1:19" ht="19.7" customHeight="1">
      <c r="A168" s="278" t="s">
        <v>659</v>
      </c>
      <c r="B168" s="589" t="s">
        <v>660</v>
      </c>
      <c r="C168" s="589"/>
      <c r="D168" s="589"/>
      <c r="E168" s="589"/>
      <c r="F168" s="589"/>
      <c r="G168" s="589"/>
      <c r="H168" s="251" t="s">
        <v>661</v>
      </c>
      <c r="I168" s="297" t="s">
        <v>4</v>
      </c>
      <c r="J168" s="251">
        <v>41383</v>
      </c>
      <c r="K168" s="253">
        <v>6.55</v>
      </c>
      <c r="L168" s="590" t="s">
        <v>662</v>
      </c>
      <c r="M168" s="589"/>
      <c r="N168" s="589"/>
      <c r="O168" s="589"/>
      <c r="P168" s="591"/>
      <c r="R168" s="254">
        <f t="shared" si="6"/>
        <v>7.487013888888888</v>
      </c>
      <c r="S168" s="255">
        <f t="shared" si="7"/>
        <v>0.57222222222222219</v>
      </c>
    </row>
    <row r="169" spans="1:19" ht="19.7" customHeight="1">
      <c r="A169" s="278" t="s">
        <v>663</v>
      </c>
      <c r="B169" s="589" t="s">
        <v>664</v>
      </c>
      <c r="C169" s="589"/>
      <c r="D169" s="589"/>
      <c r="E169" s="589"/>
      <c r="F169" s="589"/>
      <c r="G169" s="589"/>
      <c r="H169" s="251"/>
      <c r="I169" s="297" t="s">
        <v>4</v>
      </c>
      <c r="J169" s="251">
        <v>41383</v>
      </c>
      <c r="K169" s="253">
        <v>13.75</v>
      </c>
      <c r="L169" s="590" t="s">
        <v>662</v>
      </c>
      <c r="M169" s="589"/>
      <c r="N169" s="589"/>
      <c r="O169" s="589"/>
      <c r="P169" s="591"/>
      <c r="R169" s="254">
        <f t="shared" si="6"/>
        <v>15.717013888888888</v>
      </c>
      <c r="S169" s="255">
        <f t="shared" si="7"/>
        <v>0.57222222222222219</v>
      </c>
    </row>
    <row r="170" spans="1:19" ht="19.7" customHeight="1">
      <c r="A170" s="278" t="s">
        <v>665</v>
      </c>
      <c r="B170" s="589" t="s">
        <v>666</v>
      </c>
      <c r="C170" s="589"/>
      <c r="D170" s="589"/>
      <c r="E170" s="589"/>
      <c r="F170" s="589"/>
      <c r="G170" s="589"/>
      <c r="H170" s="251"/>
      <c r="I170" s="297" t="s">
        <v>4</v>
      </c>
      <c r="J170" s="251">
        <v>41383</v>
      </c>
      <c r="K170" s="253">
        <v>29.5</v>
      </c>
      <c r="L170" s="590" t="s">
        <v>662</v>
      </c>
      <c r="M170" s="589"/>
      <c r="N170" s="589"/>
      <c r="O170" s="589"/>
      <c r="P170" s="591"/>
      <c r="R170" s="254">
        <f t="shared" si="6"/>
        <v>33.72013888888889</v>
      </c>
      <c r="S170" s="255">
        <f t="shared" si="7"/>
        <v>0.57222222222222219</v>
      </c>
    </row>
    <row r="171" spans="1:19" ht="19.7" customHeight="1">
      <c r="A171" s="278" t="s">
        <v>667</v>
      </c>
      <c r="B171" s="589" t="s">
        <v>668</v>
      </c>
      <c r="C171" s="589"/>
      <c r="D171" s="589"/>
      <c r="E171" s="589"/>
      <c r="F171" s="589"/>
      <c r="G171" s="589"/>
      <c r="H171" s="251"/>
      <c r="I171" s="297" t="s">
        <v>669</v>
      </c>
      <c r="J171" s="251">
        <v>41383</v>
      </c>
      <c r="K171" s="253">
        <v>2.5</v>
      </c>
      <c r="L171" s="590" t="s">
        <v>662</v>
      </c>
      <c r="M171" s="589"/>
      <c r="N171" s="589"/>
      <c r="O171" s="589"/>
      <c r="P171" s="591"/>
      <c r="R171" s="254">
        <f t="shared" si="6"/>
        <v>2.8576388888888888</v>
      </c>
      <c r="S171" s="255">
        <f t="shared" si="7"/>
        <v>0.57222222222222219</v>
      </c>
    </row>
    <row r="172" spans="1:19" ht="19.7" customHeight="1">
      <c r="A172" s="278" t="s">
        <v>670</v>
      </c>
      <c r="B172" s="589" t="s">
        <v>671</v>
      </c>
      <c r="C172" s="589"/>
      <c r="D172" s="589"/>
      <c r="E172" s="589"/>
      <c r="F172" s="589"/>
      <c r="G172" s="589"/>
      <c r="H172" s="251"/>
      <c r="I172" s="297" t="s">
        <v>669</v>
      </c>
      <c r="J172" s="251">
        <v>41383</v>
      </c>
      <c r="K172" s="253">
        <v>5</v>
      </c>
      <c r="L172" s="590" t="s">
        <v>662</v>
      </c>
      <c r="M172" s="589"/>
      <c r="N172" s="589"/>
      <c r="O172" s="589"/>
      <c r="P172" s="591"/>
      <c r="R172" s="254">
        <f t="shared" si="6"/>
        <v>5.7152777777777777</v>
      </c>
      <c r="S172" s="255">
        <f t="shared" si="7"/>
        <v>0.57222222222222219</v>
      </c>
    </row>
    <row r="173" spans="1:19" ht="19.7" customHeight="1">
      <c r="A173" s="278" t="s">
        <v>672</v>
      </c>
      <c r="B173" s="589" t="s">
        <v>673</v>
      </c>
      <c r="C173" s="589"/>
      <c r="D173" s="589"/>
      <c r="E173" s="589"/>
      <c r="F173" s="589"/>
      <c r="G173" s="589"/>
      <c r="H173" s="251"/>
      <c r="I173" s="297" t="s">
        <v>669</v>
      </c>
      <c r="J173" s="251">
        <v>41383</v>
      </c>
      <c r="K173" s="253">
        <v>2.5</v>
      </c>
      <c r="L173" s="590" t="s">
        <v>662</v>
      </c>
      <c r="M173" s="589"/>
      <c r="N173" s="589"/>
      <c r="O173" s="589"/>
      <c r="P173" s="591"/>
      <c r="R173" s="254">
        <f t="shared" si="6"/>
        <v>2.8576388888888888</v>
      </c>
      <c r="S173" s="255">
        <f t="shared" si="7"/>
        <v>0.57222222222222219</v>
      </c>
    </row>
    <row r="174" spans="1:19" ht="19.7" customHeight="1">
      <c r="A174" s="278" t="s">
        <v>674</v>
      </c>
      <c r="B174" s="589" t="s">
        <v>675</v>
      </c>
      <c r="C174" s="589"/>
      <c r="D174" s="589"/>
      <c r="E174" s="589"/>
      <c r="F174" s="589"/>
      <c r="G174" s="589"/>
      <c r="H174" s="251"/>
      <c r="I174" s="297" t="s">
        <v>669</v>
      </c>
      <c r="J174" s="251">
        <v>41383</v>
      </c>
      <c r="K174" s="253">
        <v>4.2</v>
      </c>
      <c r="L174" s="590" t="s">
        <v>662</v>
      </c>
      <c r="M174" s="589"/>
      <c r="N174" s="589"/>
      <c r="O174" s="589"/>
      <c r="P174" s="591"/>
      <c r="R174" s="254">
        <f t="shared" si="6"/>
        <v>4.8008333333333333</v>
      </c>
      <c r="S174" s="255">
        <f t="shared" si="7"/>
        <v>0.57222222222222219</v>
      </c>
    </row>
    <row r="175" spans="1:19" ht="19.7" customHeight="1">
      <c r="A175" s="278" t="s">
        <v>676</v>
      </c>
      <c r="B175" s="589" t="s">
        <v>677</v>
      </c>
      <c r="C175" s="589"/>
      <c r="D175" s="589"/>
      <c r="E175" s="589"/>
      <c r="F175" s="589"/>
      <c r="G175" s="589"/>
      <c r="H175" s="251"/>
      <c r="I175" s="297" t="s">
        <v>669</v>
      </c>
      <c r="J175" s="251">
        <v>41383</v>
      </c>
      <c r="K175" s="253">
        <v>80</v>
      </c>
      <c r="L175" s="590" t="s">
        <v>662</v>
      </c>
      <c r="M175" s="589"/>
      <c r="N175" s="589"/>
      <c r="O175" s="589"/>
      <c r="P175" s="591"/>
      <c r="R175" s="254">
        <f t="shared" si="6"/>
        <v>91.444444444444443</v>
      </c>
      <c r="S175" s="255">
        <f t="shared" si="7"/>
        <v>0.57222222222222219</v>
      </c>
    </row>
    <row r="176" spans="1:19" ht="19.7" customHeight="1">
      <c r="A176" s="278" t="s">
        <v>678</v>
      </c>
      <c r="B176" s="589" t="s">
        <v>679</v>
      </c>
      <c r="C176" s="589"/>
      <c r="D176" s="589"/>
      <c r="E176" s="589"/>
      <c r="F176" s="589"/>
      <c r="G176" s="589"/>
      <c r="H176" s="298"/>
      <c r="I176" s="297" t="s">
        <v>669</v>
      </c>
      <c r="J176" s="251">
        <v>41373</v>
      </c>
      <c r="K176" s="253">
        <v>37</v>
      </c>
      <c r="L176" s="590" t="s">
        <v>680</v>
      </c>
      <c r="M176" s="589"/>
      <c r="N176" s="589"/>
      <c r="O176" s="589"/>
      <c r="P176" s="591"/>
      <c r="R176" s="254">
        <f t="shared" si="6"/>
        <v>42.55</v>
      </c>
      <c r="S176" s="255">
        <f t="shared" si="7"/>
        <v>0.6</v>
      </c>
    </row>
    <row r="177" spans="1:19" ht="19.7" customHeight="1">
      <c r="A177" s="278" t="s">
        <v>681</v>
      </c>
      <c r="B177" s="589" t="s">
        <v>682</v>
      </c>
      <c r="C177" s="589"/>
      <c r="D177" s="589"/>
      <c r="E177" s="589"/>
      <c r="F177" s="589"/>
      <c r="G177" s="589"/>
      <c r="H177" s="298"/>
      <c r="I177" s="297" t="s">
        <v>669</v>
      </c>
      <c r="J177" s="251">
        <v>41373</v>
      </c>
      <c r="K177" s="253">
        <v>37</v>
      </c>
      <c r="L177" s="590" t="s">
        <v>680</v>
      </c>
      <c r="M177" s="589"/>
      <c r="N177" s="589"/>
      <c r="O177" s="589"/>
      <c r="P177" s="591"/>
      <c r="R177" s="254">
        <f t="shared" si="6"/>
        <v>42.55</v>
      </c>
      <c r="S177" s="255">
        <f t="shared" si="7"/>
        <v>0.6</v>
      </c>
    </row>
    <row r="178" spans="1:19" ht="19.7" customHeight="1">
      <c r="A178" s="278" t="s">
        <v>683</v>
      </c>
      <c r="B178" s="589" t="s">
        <v>684</v>
      </c>
      <c r="C178" s="589"/>
      <c r="D178" s="589"/>
      <c r="E178" s="589"/>
      <c r="F178" s="589"/>
      <c r="G178" s="589"/>
      <c r="H178" s="298"/>
      <c r="I178" s="297" t="s">
        <v>669</v>
      </c>
      <c r="J178" s="251">
        <v>41373</v>
      </c>
      <c r="K178" s="253">
        <v>74.06</v>
      </c>
      <c r="L178" s="590" t="s">
        <v>680</v>
      </c>
      <c r="M178" s="589"/>
      <c r="N178" s="589"/>
      <c r="O178" s="589"/>
      <c r="P178" s="591"/>
      <c r="R178" s="254">
        <f t="shared" si="6"/>
        <v>85.168999999999997</v>
      </c>
      <c r="S178" s="255">
        <f t="shared" si="7"/>
        <v>0.6</v>
      </c>
    </row>
    <row r="179" spans="1:19" ht="19.7" customHeight="1">
      <c r="A179" s="278" t="s">
        <v>685</v>
      </c>
      <c r="B179" s="589" t="s">
        <v>686</v>
      </c>
      <c r="C179" s="589"/>
      <c r="D179" s="589"/>
      <c r="E179" s="589"/>
      <c r="F179" s="589"/>
      <c r="G179" s="589"/>
      <c r="H179" s="298"/>
      <c r="I179" s="297" t="s">
        <v>669</v>
      </c>
      <c r="J179" s="251">
        <v>41373</v>
      </c>
      <c r="K179" s="253">
        <v>76.930000000000007</v>
      </c>
      <c r="L179" s="590" t="s">
        <v>680</v>
      </c>
      <c r="M179" s="589"/>
      <c r="N179" s="589"/>
      <c r="O179" s="589"/>
      <c r="P179" s="591"/>
      <c r="R179" s="254">
        <f t="shared" si="6"/>
        <v>88.469499999999996</v>
      </c>
      <c r="S179" s="255">
        <f t="shared" si="7"/>
        <v>0.6</v>
      </c>
    </row>
    <row r="180" spans="1:19" ht="19.7" customHeight="1">
      <c r="A180" s="278" t="s">
        <v>687</v>
      </c>
      <c r="B180" s="589" t="s">
        <v>688</v>
      </c>
      <c r="C180" s="589"/>
      <c r="D180" s="589"/>
      <c r="E180" s="589"/>
      <c r="F180" s="589"/>
      <c r="G180" s="589"/>
      <c r="H180" s="298" t="s">
        <v>689</v>
      </c>
      <c r="I180" s="297" t="s">
        <v>669</v>
      </c>
      <c r="J180" s="251">
        <v>41383</v>
      </c>
      <c r="K180" s="253">
        <v>330</v>
      </c>
      <c r="L180" s="590" t="s">
        <v>662</v>
      </c>
      <c r="M180" s="589"/>
      <c r="N180" s="589"/>
      <c r="O180" s="589"/>
      <c r="P180" s="591"/>
      <c r="R180" s="254">
        <f t="shared" si="6"/>
        <v>377.20833333333331</v>
      </c>
      <c r="S180" s="255">
        <f t="shared" si="7"/>
        <v>0.57222222222222219</v>
      </c>
    </row>
    <row r="181" spans="1:19" ht="19.7" customHeight="1">
      <c r="A181" s="278" t="s">
        <v>690</v>
      </c>
      <c r="B181" s="589" t="s">
        <v>691</v>
      </c>
      <c r="C181" s="589"/>
      <c r="D181" s="589"/>
      <c r="E181" s="589"/>
      <c r="F181" s="589"/>
      <c r="G181" s="589"/>
      <c r="H181" s="251"/>
      <c r="I181" s="297" t="s">
        <v>669</v>
      </c>
      <c r="J181" s="251">
        <v>41383</v>
      </c>
      <c r="K181" s="253">
        <v>20</v>
      </c>
      <c r="L181" s="590" t="s">
        <v>662</v>
      </c>
      <c r="M181" s="589"/>
      <c r="N181" s="589"/>
      <c r="O181" s="589"/>
      <c r="P181" s="591"/>
      <c r="R181" s="254">
        <f t="shared" si="6"/>
        <v>22.861111111111111</v>
      </c>
      <c r="S181" s="255">
        <f t="shared" si="7"/>
        <v>0.57222222222222219</v>
      </c>
    </row>
    <row r="182" spans="1:19" ht="19.7" customHeight="1">
      <c r="A182" s="278" t="s">
        <v>692</v>
      </c>
      <c r="B182" s="589" t="s">
        <v>693</v>
      </c>
      <c r="C182" s="589"/>
      <c r="D182" s="589"/>
      <c r="E182" s="589"/>
      <c r="F182" s="589"/>
      <c r="G182" s="589"/>
      <c r="H182" s="251"/>
      <c r="I182" s="297" t="s">
        <v>669</v>
      </c>
      <c r="J182" s="251">
        <v>41383</v>
      </c>
      <c r="K182" s="253">
        <v>27</v>
      </c>
      <c r="L182" s="590" t="s">
        <v>662</v>
      </c>
      <c r="M182" s="589"/>
      <c r="N182" s="589"/>
      <c r="O182" s="589"/>
      <c r="P182" s="591"/>
      <c r="R182" s="254">
        <f t="shared" si="6"/>
        <v>30.862499999999997</v>
      </c>
      <c r="S182" s="255">
        <f t="shared" si="7"/>
        <v>0.57222222222222219</v>
      </c>
    </row>
    <row r="183" spans="1:19" ht="19.7" customHeight="1">
      <c r="A183" s="278" t="s">
        <v>694</v>
      </c>
      <c r="B183" s="589" t="s">
        <v>695</v>
      </c>
      <c r="C183" s="589"/>
      <c r="D183" s="589"/>
      <c r="E183" s="589"/>
      <c r="F183" s="589"/>
      <c r="G183" s="589"/>
      <c r="H183" s="251"/>
      <c r="I183" s="297" t="s">
        <v>4</v>
      </c>
      <c r="J183" s="251">
        <v>41360</v>
      </c>
      <c r="K183" s="253">
        <v>2.4</v>
      </c>
      <c r="L183" s="590" t="s">
        <v>363</v>
      </c>
      <c r="M183" s="589"/>
      <c r="N183" s="589"/>
      <c r="O183" s="589"/>
      <c r="P183" s="591"/>
      <c r="R183" s="254">
        <f t="shared" si="6"/>
        <v>2.78</v>
      </c>
      <c r="S183" s="255">
        <f t="shared" si="7"/>
        <v>0.6333333333333333</v>
      </c>
    </row>
    <row r="184" spans="1:19" ht="19.7" customHeight="1">
      <c r="A184" s="278" t="s">
        <v>696</v>
      </c>
      <c r="B184" s="589" t="s">
        <v>697</v>
      </c>
      <c r="C184" s="589"/>
      <c r="D184" s="589"/>
      <c r="E184" s="589"/>
      <c r="F184" s="589"/>
      <c r="G184" s="589"/>
      <c r="H184" s="251"/>
      <c r="I184" s="297" t="s">
        <v>669</v>
      </c>
      <c r="J184" s="251">
        <v>41383</v>
      </c>
      <c r="K184" s="253">
        <v>220</v>
      </c>
      <c r="L184" s="590" t="s">
        <v>662</v>
      </c>
      <c r="M184" s="589"/>
      <c r="N184" s="589"/>
      <c r="O184" s="589"/>
      <c r="P184" s="591"/>
      <c r="R184" s="254">
        <f t="shared" si="6"/>
        <v>251.4722222222222</v>
      </c>
      <c r="S184" s="255">
        <f t="shared" si="7"/>
        <v>0.57222222222222219</v>
      </c>
    </row>
    <row r="185" spans="1:19" ht="19.7" customHeight="1">
      <c r="A185" s="278" t="s">
        <v>698</v>
      </c>
      <c r="B185" s="589" t="s">
        <v>699</v>
      </c>
      <c r="C185" s="589"/>
      <c r="D185" s="589"/>
      <c r="E185" s="589"/>
      <c r="F185" s="589"/>
      <c r="G185" s="589"/>
      <c r="H185" s="251" t="s">
        <v>700</v>
      </c>
      <c r="I185" s="297" t="s">
        <v>669</v>
      </c>
      <c r="J185" s="251">
        <v>41334</v>
      </c>
      <c r="K185" s="253">
        <v>22.4</v>
      </c>
      <c r="L185" s="590" t="s">
        <v>356</v>
      </c>
      <c r="M185" s="589"/>
      <c r="N185" s="589"/>
      <c r="O185" s="589"/>
      <c r="P185" s="591"/>
      <c r="R185" s="254">
        <f t="shared" si="6"/>
        <v>26.351111111111109</v>
      </c>
      <c r="S185" s="255">
        <f t="shared" si="7"/>
        <v>0.7055555555555556</v>
      </c>
    </row>
    <row r="186" spans="1:19" ht="19.7" customHeight="1">
      <c r="A186" s="278" t="s">
        <v>701</v>
      </c>
      <c r="B186" s="589" t="s">
        <v>702</v>
      </c>
      <c r="C186" s="589"/>
      <c r="D186" s="589"/>
      <c r="E186" s="589"/>
      <c r="F186" s="589"/>
      <c r="G186" s="589"/>
      <c r="H186" s="251" t="s">
        <v>700</v>
      </c>
      <c r="I186" s="297" t="s">
        <v>669</v>
      </c>
      <c r="J186" s="251">
        <v>41334</v>
      </c>
      <c r="K186" s="253">
        <v>30.8</v>
      </c>
      <c r="L186" s="590" t="s">
        <v>356</v>
      </c>
      <c r="M186" s="589"/>
      <c r="N186" s="589"/>
      <c r="O186" s="589"/>
      <c r="P186" s="591"/>
      <c r="R186" s="254">
        <f t="shared" si="6"/>
        <v>36.232777777777777</v>
      </c>
      <c r="S186" s="255">
        <f t="shared" si="7"/>
        <v>0.7055555555555556</v>
      </c>
    </row>
    <row r="187" spans="1:19" ht="19.7" customHeight="1">
      <c r="A187" s="278" t="s">
        <v>703</v>
      </c>
      <c r="B187" s="589" t="s">
        <v>704</v>
      </c>
      <c r="C187" s="589"/>
      <c r="D187" s="589"/>
      <c r="E187" s="589"/>
      <c r="F187" s="589"/>
      <c r="G187" s="589"/>
      <c r="H187" s="251"/>
      <c r="I187" s="297" t="s">
        <v>669</v>
      </c>
      <c r="J187" s="251">
        <v>41334</v>
      </c>
      <c r="K187" s="253">
        <v>22.89</v>
      </c>
      <c r="L187" s="590" t="s">
        <v>356</v>
      </c>
      <c r="M187" s="589"/>
      <c r="N187" s="589"/>
      <c r="O187" s="589"/>
      <c r="P187" s="591"/>
      <c r="R187" s="254">
        <f t="shared" si="6"/>
        <v>26.927541666666666</v>
      </c>
      <c r="S187" s="255">
        <f t="shared" si="7"/>
        <v>0.7055555555555556</v>
      </c>
    </row>
    <row r="188" spans="1:19" ht="19.7" customHeight="1">
      <c r="A188" s="278"/>
      <c r="B188" s="290" t="s">
        <v>705</v>
      </c>
      <c r="C188" s="291"/>
      <c r="D188" s="291"/>
      <c r="E188" s="291"/>
      <c r="F188" s="291"/>
      <c r="G188" s="291"/>
      <c r="H188" s="251"/>
      <c r="I188" s="297"/>
      <c r="J188" s="251"/>
      <c r="K188" s="253"/>
      <c r="L188" s="293"/>
      <c r="M188" s="291"/>
      <c r="N188" s="291"/>
      <c r="O188" s="291"/>
      <c r="P188" s="292"/>
      <c r="R188" s="254"/>
      <c r="S188" s="255"/>
    </row>
    <row r="189" spans="1:19" ht="19.7" customHeight="1">
      <c r="A189" s="278" t="s">
        <v>706</v>
      </c>
      <c r="B189" s="589" t="s">
        <v>707</v>
      </c>
      <c r="C189" s="589"/>
      <c r="D189" s="589"/>
      <c r="E189" s="589"/>
      <c r="F189" s="589"/>
      <c r="G189" s="589"/>
      <c r="H189" s="251"/>
      <c r="I189" s="297" t="s">
        <v>669</v>
      </c>
      <c r="J189" s="251">
        <v>41373</v>
      </c>
      <c r="K189" s="253">
        <f>244.15+4.8</f>
        <v>248.95000000000002</v>
      </c>
      <c r="L189" s="590" t="s">
        <v>680</v>
      </c>
      <c r="M189" s="589"/>
      <c r="N189" s="589"/>
      <c r="O189" s="589"/>
      <c r="P189" s="591"/>
      <c r="R189" s="254">
        <f t="shared" si="6"/>
        <v>286.29250000000002</v>
      </c>
      <c r="S189" s="255">
        <f t="shared" si="7"/>
        <v>0.6</v>
      </c>
    </row>
    <row r="190" spans="1:19" ht="19.7" customHeight="1">
      <c r="A190" s="278" t="s">
        <v>708</v>
      </c>
      <c r="B190" s="589" t="s">
        <v>709</v>
      </c>
      <c r="C190" s="589"/>
      <c r="D190" s="589"/>
      <c r="E190" s="589"/>
      <c r="F190" s="589"/>
      <c r="G190" s="589"/>
      <c r="H190" s="251" t="s">
        <v>710</v>
      </c>
      <c r="I190" s="297" t="s">
        <v>669</v>
      </c>
      <c r="J190" s="251">
        <v>41334</v>
      </c>
      <c r="K190" s="253">
        <v>160.34</v>
      </c>
      <c r="L190" s="590" t="s">
        <v>356</v>
      </c>
      <c r="M190" s="589"/>
      <c r="N190" s="589"/>
      <c r="O190" s="589"/>
      <c r="P190" s="591"/>
      <c r="R190" s="254">
        <f t="shared" si="6"/>
        <v>188.62219444444446</v>
      </c>
      <c r="S190" s="255">
        <f t="shared" si="7"/>
        <v>0.7055555555555556</v>
      </c>
    </row>
    <row r="191" spans="1:19" ht="19.7" customHeight="1">
      <c r="A191" s="278" t="s">
        <v>711</v>
      </c>
      <c r="B191" s="589" t="s">
        <v>712</v>
      </c>
      <c r="C191" s="589"/>
      <c r="D191" s="589"/>
      <c r="E191" s="589"/>
      <c r="F191" s="589"/>
      <c r="G191" s="589"/>
      <c r="H191" s="251" t="s">
        <v>710</v>
      </c>
      <c r="I191" s="297" t="s">
        <v>669</v>
      </c>
      <c r="J191" s="251">
        <v>41334</v>
      </c>
      <c r="K191" s="253">
        <v>176.61</v>
      </c>
      <c r="L191" s="590" t="s">
        <v>356</v>
      </c>
      <c r="M191" s="589"/>
      <c r="N191" s="589"/>
      <c r="O191" s="589"/>
      <c r="P191" s="591"/>
      <c r="R191" s="254">
        <f t="shared" si="6"/>
        <v>207.76204166666668</v>
      </c>
      <c r="S191" s="255">
        <f t="shared" si="7"/>
        <v>0.7055555555555556</v>
      </c>
    </row>
    <row r="192" spans="1:19" ht="19.7" customHeight="1">
      <c r="A192" s="278" t="s">
        <v>713</v>
      </c>
      <c r="B192" s="589" t="s">
        <v>714</v>
      </c>
      <c r="C192" s="589"/>
      <c r="D192" s="589"/>
      <c r="E192" s="589"/>
      <c r="F192" s="589"/>
      <c r="G192" s="589"/>
      <c r="H192" s="251" t="s">
        <v>710</v>
      </c>
      <c r="I192" s="297" t="s">
        <v>669</v>
      </c>
      <c r="J192" s="251">
        <v>41334</v>
      </c>
      <c r="K192" s="253">
        <v>627.91999999999996</v>
      </c>
      <c r="L192" s="590" t="s">
        <v>356</v>
      </c>
      <c r="M192" s="589"/>
      <c r="N192" s="589"/>
      <c r="O192" s="589"/>
      <c r="P192" s="591"/>
      <c r="R192" s="254">
        <f t="shared" si="6"/>
        <v>738.67811111111109</v>
      </c>
      <c r="S192" s="255">
        <f t="shared" si="7"/>
        <v>0.7055555555555556</v>
      </c>
    </row>
    <row r="193" spans="1:19" ht="19.7" customHeight="1">
      <c r="A193" s="278" t="s">
        <v>715</v>
      </c>
      <c r="B193" s="589" t="s">
        <v>716</v>
      </c>
      <c r="C193" s="589"/>
      <c r="D193" s="589"/>
      <c r="E193" s="589"/>
      <c r="F193" s="589"/>
      <c r="G193" s="589"/>
      <c r="H193" s="251" t="s">
        <v>717</v>
      </c>
      <c r="I193" s="297" t="s">
        <v>669</v>
      </c>
      <c r="J193" s="251">
        <v>41334</v>
      </c>
      <c r="K193" s="253">
        <v>174.93</v>
      </c>
      <c r="L193" s="590" t="s">
        <v>356</v>
      </c>
      <c r="M193" s="589"/>
      <c r="N193" s="589"/>
      <c r="O193" s="589"/>
      <c r="P193" s="591"/>
      <c r="R193" s="254">
        <f t="shared" si="6"/>
        <v>205.78570833333336</v>
      </c>
      <c r="S193" s="255">
        <f t="shared" si="7"/>
        <v>0.7055555555555556</v>
      </c>
    </row>
    <row r="194" spans="1:19" ht="19.7" customHeight="1">
      <c r="A194" s="278"/>
      <c r="B194" s="290" t="s">
        <v>590</v>
      </c>
      <c r="C194" s="291"/>
      <c r="D194" s="291"/>
      <c r="E194" s="291"/>
      <c r="F194" s="291"/>
      <c r="G194" s="291"/>
      <c r="H194" s="251"/>
      <c r="I194" s="297"/>
      <c r="J194" s="251"/>
      <c r="K194" s="253"/>
      <c r="L194" s="293"/>
      <c r="M194" s="291"/>
      <c r="N194" s="291"/>
      <c r="O194" s="291"/>
      <c r="P194" s="292"/>
      <c r="R194" s="254"/>
      <c r="S194" s="255"/>
    </row>
    <row r="195" spans="1:19" ht="19.7" customHeight="1">
      <c r="A195" s="278" t="s">
        <v>718</v>
      </c>
      <c r="B195" s="589" t="s">
        <v>719</v>
      </c>
      <c r="C195" s="589"/>
      <c r="D195" s="589"/>
      <c r="E195" s="589"/>
      <c r="F195" s="589"/>
      <c r="G195" s="589"/>
      <c r="H195" s="251"/>
      <c r="I195" s="297" t="s">
        <v>669</v>
      </c>
      <c r="J195" s="251">
        <v>41519</v>
      </c>
      <c r="K195" s="253">
        <v>633</v>
      </c>
      <c r="L195" s="590" t="s">
        <v>382</v>
      </c>
      <c r="M195" s="589"/>
      <c r="N195" s="589"/>
      <c r="O195" s="589"/>
      <c r="P195" s="591"/>
      <c r="R195" s="254">
        <f t="shared" si="6"/>
        <v>665.08958333333328</v>
      </c>
      <c r="S195" s="255">
        <f t="shared" si="7"/>
        <v>0.20277777777777778</v>
      </c>
    </row>
    <row r="196" spans="1:19" ht="19.7" customHeight="1">
      <c r="A196" s="278" t="s">
        <v>720</v>
      </c>
      <c r="B196" s="589" t="s">
        <v>721</v>
      </c>
      <c r="C196" s="589"/>
      <c r="D196" s="589"/>
      <c r="E196" s="589"/>
      <c r="F196" s="589"/>
      <c r="G196" s="589"/>
      <c r="H196" s="251"/>
      <c r="I196" s="297" t="s">
        <v>669</v>
      </c>
      <c r="J196" s="251">
        <v>41334</v>
      </c>
      <c r="K196" s="253">
        <v>303.41000000000003</v>
      </c>
      <c r="L196" s="590" t="s">
        <v>356</v>
      </c>
      <c r="M196" s="589"/>
      <c r="N196" s="589"/>
      <c r="O196" s="589"/>
      <c r="P196" s="591"/>
      <c r="R196" s="254">
        <f t="shared" si="6"/>
        <v>356.92815277777783</v>
      </c>
      <c r="S196" s="255">
        <f t="shared" si="7"/>
        <v>0.7055555555555556</v>
      </c>
    </row>
    <row r="197" spans="1:19" ht="19.7" customHeight="1">
      <c r="A197" s="259"/>
      <c r="B197" s="592"/>
      <c r="C197" s="592"/>
      <c r="D197" s="592"/>
      <c r="E197" s="592"/>
      <c r="F197" s="592"/>
      <c r="G197" s="592"/>
      <c r="H197" s="273"/>
      <c r="I197" s="299"/>
      <c r="J197" s="273"/>
      <c r="K197" s="300"/>
      <c r="L197" s="593"/>
      <c r="M197" s="592"/>
      <c r="N197" s="592"/>
      <c r="O197" s="592"/>
      <c r="P197" s="594"/>
      <c r="R197" s="254" t="str">
        <f t="shared" si="6"/>
        <v/>
      </c>
      <c r="S197" s="255" t="str">
        <f t="shared" si="7"/>
        <v/>
      </c>
    </row>
    <row r="198" spans="1:19" ht="19.7" customHeight="1">
      <c r="A198" s="234" t="s">
        <v>722</v>
      </c>
      <c r="B198" s="235" t="s">
        <v>723</v>
      </c>
      <c r="C198" s="235"/>
      <c r="D198" s="235"/>
      <c r="E198" s="235"/>
      <c r="F198" s="235"/>
      <c r="G198" s="235"/>
      <c r="H198" s="236"/>
      <c r="I198" s="236"/>
      <c r="J198" s="237"/>
      <c r="K198" s="275"/>
      <c r="L198" s="239"/>
      <c r="M198" s="239"/>
      <c r="N198" s="239"/>
      <c r="O198" s="239"/>
      <c r="P198" s="240"/>
      <c r="R198" s="254" t="str">
        <f t="shared" si="6"/>
        <v/>
      </c>
      <c r="S198" s="255" t="str">
        <f t="shared" si="7"/>
        <v/>
      </c>
    </row>
    <row r="199" spans="1:19" ht="19.7" customHeight="1">
      <c r="A199" s="276"/>
      <c r="B199" s="604" t="s">
        <v>724</v>
      </c>
      <c r="C199" s="586"/>
      <c r="D199" s="586"/>
      <c r="E199" s="586"/>
      <c r="F199" s="586"/>
      <c r="G199" s="586"/>
      <c r="H199" s="264"/>
      <c r="I199" s="265"/>
      <c r="J199" s="243"/>
      <c r="K199" s="277"/>
      <c r="L199" s="587"/>
      <c r="M199" s="586"/>
      <c r="N199" s="586"/>
      <c r="O199" s="586"/>
      <c r="P199" s="588"/>
      <c r="R199" s="254" t="str">
        <f t="shared" si="6"/>
        <v/>
      </c>
      <c r="S199" s="255" t="str">
        <f t="shared" si="7"/>
        <v/>
      </c>
    </row>
    <row r="200" spans="1:19" ht="19.7" customHeight="1">
      <c r="A200" s="278"/>
      <c r="B200" s="605" t="s">
        <v>725</v>
      </c>
      <c r="C200" s="589"/>
      <c r="D200" s="589"/>
      <c r="E200" s="589"/>
      <c r="F200" s="589"/>
      <c r="G200" s="589"/>
      <c r="H200" s="267"/>
      <c r="I200" s="268"/>
      <c r="J200" s="251"/>
      <c r="K200" s="279"/>
      <c r="L200" s="590"/>
      <c r="M200" s="589"/>
      <c r="N200" s="589"/>
      <c r="O200" s="589"/>
      <c r="P200" s="591"/>
      <c r="R200" s="254" t="str">
        <f t="shared" si="6"/>
        <v/>
      </c>
      <c r="S200" s="255" t="str">
        <f t="shared" si="7"/>
        <v/>
      </c>
    </row>
    <row r="201" spans="1:19" ht="19.7" customHeight="1">
      <c r="A201" s="289"/>
      <c r="B201" s="290" t="s">
        <v>726</v>
      </c>
      <c r="C201" s="291"/>
      <c r="D201" s="291"/>
      <c r="E201" s="291"/>
      <c r="F201" s="291"/>
      <c r="G201" s="292"/>
      <c r="H201" s="251"/>
      <c r="I201" s="252"/>
      <c r="J201" s="251"/>
      <c r="K201" s="269"/>
      <c r="L201" s="293"/>
      <c r="M201" s="291"/>
      <c r="N201" s="291"/>
      <c r="O201" s="291"/>
      <c r="P201" s="292"/>
      <c r="R201" s="254"/>
      <c r="S201" s="255"/>
    </row>
    <row r="202" spans="1:19" ht="19.7" customHeight="1">
      <c r="A202" s="278"/>
      <c r="B202" s="589" t="s">
        <v>992</v>
      </c>
      <c r="C202" s="589"/>
      <c r="D202" s="589"/>
      <c r="E202" s="589"/>
      <c r="F202" s="589"/>
      <c r="G202" s="589"/>
      <c r="H202" s="267" t="s">
        <v>994</v>
      </c>
      <c r="I202" s="268" t="s">
        <v>3</v>
      </c>
      <c r="J202" s="251">
        <v>41578</v>
      </c>
      <c r="K202" s="279">
        <v>172.29</v>
      </c>
      <c r="L202" s="590" t="s">
        <v>998</v>
      </c>
      <c r="M202" s="589"/>
      <c r="N202" s="589"/>
      <c r="O202" s="589"/>
      <c r="P202" s="591"/>
      <c r="R202" s="254">
        <f t="shared" ref="R202:R206" si="8">IF(J202&gt;0, K202*(1+(T$2/100)*S202), "")</f>
        <v>174.0846875</v>
      </c>
      <c r="S202" s="255">
        <f t="shared" ref="S202:S206" si="9">IF(K202&gt;0, DAYS360(J202,T$3)/360, "")</f>
        <v>4.1666666666666664E-2</v>
      </c>
    </row>
    <row r="203" spans="1:19" ht="19.7" customHeight="1">
      <c r="A203" s="278"/>
      <c r="B203" s="589" t="s">
        <v>993</v>
      </c>
      <c r="C203" s="589"/>
      <c r="D203" s="589"/>
      <c r="E203" s="589"/>
      <c r="F203" s="589"/>
      <c r="G203" s="589"/>
      <c r="H203" s="267" t="s">
        <v>994</v>
      </c>
      <c r="I203" s="268" t="s">
        <v>3</v>
      </c>
      <c r="J203" s="251">
        <v>41578</v>
      </c>
      <c r="K203" s="279">
        <v>253.06</v>
      </c>
      <c r="L203" s="590" t="s">
        <v>998</v>
      </c>
      <c r="M203" s="589"/>
      <c r="N203" s="589"/>
      <c r="O203" s="589"/>
      <c r="P203" s="591"/>
      <c r="R203" s="254">
        <f t="shared" si="8"/>
        <v>255.6960416666667</v>
      </c>
      <c r="S203" s="255">
        <f t="shared" si="9"/>
        <v>4.1666666666666664E-2</v>
      </c>
    </row>
    <row r="204" spans="1:19" ht="19.7" customHeight="1">
      <c r="A204" s="278"/>
      <c r="B204" s="589" t="s">
        <v>995</v>
      </c>
      <c r="C204" s="589"/>
      <c r="D204" s="589"/>
      <c r="E204" s="589"/>
      <c r="F204" s="589"/>
      <c r="G204" s="589"/>
      <c r="H204" s="267" t="s">
        <v>994</v>
      </c>
      <c r="I204" s="268" t="s">
        <v>3</v>
      </c>
      <c r="J204" s="251">
        <v>41578</v>
      </c>
      <c r="K204" s="279">
        <v>394.49</v>
      </c>
      <c r="L204" s="590" t="s">
        <v>998</v>
      </c>
      <c r="M204" s="589"/>
      <c r="N204" s="589"/>
      <c r="O204" s="589"/>
      <c r="P204" s="591"/>
      <c r="R204" s="254">
        <f t="shared" si="8"/>
        <v>398.59927083333338</v>
      </c>
      <c r="S204" s="255">
        <f t="shared" si="9"/>
        <v>4.1666666666666664E-2</v>
      </c>
    </row>
    <row r="205" spans="1:19" ht="19.7" customHeight="1">
      <c r="A205" s="278"/>
      <c r="B205" s="589" t="s">
        <v>996</v>
      </c>
      <c r="C205" s="589"/>
      <c r="D205" s="589"/>
      <c r="E205" s="589"/>
      <c r="F205" s="589"/>
      <c r="G205" s="589"/>
      <c r="H205" s="267" t="s">
        <v>994</v>
      </c>
      <c r="I205" s="268" t="s">
        <v>3</v>
      </c>
      <c r="J205" s="251">
        <v>41578</v>
      </c>
      <c r="K205" s="279">
        <v>601.94000000000005</v>
      </c>
      <c r="L205" s="590" t="s">
        <v>998</v>
      </c>
      <c r="M205" s="589"/>
      <c r="N205" s="589"/>
      <c r="O205" s="589"/>
      <c r="P205" s="591"/>
      <c r="R205" s="254">
        <f t="shared" si="8"/>
        <v>608.21020833333341</v>
      </c>
      <c r="S205" s="255">
        <f t="shared" si="9"/>
        <v>4.1666666666666664E-2</v>
      </c>
    </row>
    <row r="206" spans="1:19" ht="19.7" customHeight="1">
      <c r="A206" s="278"/>
      <c r="B206" s="589" t="s">
        <v>997</v>
      </c>
      <c r="C206" s="589"/>
      <c r="D206" s="589"/>
      <c r="E206" s="589"/>
      <c r="F206" s="589"/>
      <c r="G206" s="589"/>
      <c r="H206" s="267" t="s">
        <v>994</v>
      </c>
      <c r="I206" s="268" t="s">
        <v>3</v>
      </c>
      <c r="J206" s="251">
        <v>41578</v>
      </c>
      <c r="K206" s="279">
        <v>1214.51</v>
      </c>
      <c r="L206" s="590" t="s">
        <v>998</v>
      </c>
      <c r="M206" s="589"/>
      <c r="N206" s="589"/>
      <c r="O206" s="589"/>
      <c r="P206" s="591"/>
      <c r="R206" s="254">
        <f t="shared" si="8"/>
        <v>1227.1611458333334</v>
      </c>
      <c r="S206" s="255">
        <f t="shared" si="9"/>
        <v>4.1666666666666664E-2</v>
      </c>
    </row>
    <row r="207" spans="1:19" ht="19.7" customHeight="1">
      <c r="A207" s="278"/>
      <c r="B207" s="589" t="s">
        <v>1209</v>
      </c>
      <c r="C207" s="589"/>
      <c r="D207" s="589"/>
      <c r="E207" s="589"/>
      <c r="F207" s="589"/>
      <c r="G207" s="589"/>
      <c r="H207" s="267"/>
      <c r="I207" s="268" t="s">
        <v>3</v>
      </c>
      <c r="J207" s="251">
        <v>41588</v>
      </c>
      <c r="K207" s="279">
        <f>2050/1.21</f>
        <v>1694.2148760330579</v>
      </c>
      <c r="L207" s="590" t="s">
        <v>363</v>
      </c>
      <c r="M207" s="589"/>
      <c r="N207" s="589"/>
      <c r="O207" s="589"/>
      <c r="P207" s="591"/>
      <c r="R207" s="254">
        <f t="shared" ref="R207" si="10">IF(J207&gt;0, K207*(1+(T$2/100)*S207), "")</f>
        <v>1700.0975665748394</v>
      </c>
      <c r="S207" s="255">
        <f t="shared" ref="S207" si="11">IF(K207&gt;0, DAYS360(J207,T$3)/360, "")</f>
        <v>1.3888888888888888E-2</v>
      </c>
    </row>
    <row r="208" spans="1:19" ht="19.7" customHeight="1">
      <c r="A208" s="278" t="s">
        <v>727</v>
      </c>
      <c r="B208" s="589" t="s">
        <v>728</v>
      </c>
      <c r="C208" s="589"/>
      <c r="D208" s="589"/>
      <c r="E208" s="589"/>
      <c r="F208" s="589"/>
      <c r="G208" s="589"/>
      <c r="H208" s="267"/>
      <c r="I208" s="268" t="s">
        <v>3</v>
      </c>
      <c r="J208" s="251">
        <v>41395</v>
      </c>
      <c r="K208" s="279">
        <v>191.43</v>
      </c>
      <c r="L208" s="590" t="s">
        <v>356</v>
      </c>
      <c r="M208" s="589"/>
      <c r="N208" s="589"/>
      <c r="O208" s="589"/>
      <c r="P208" s="591"/>
      <c r="R208" s="254">
        <f t="shared" si="6"/>
        <v>217.219875</v>
      </c>
      <c r="S208" s="255">
        <f t="shared" si="7"/>
        <v>0.53888888888888886</v>
      </c>
    </row>
    <row r="209" spans="1:19" ht="19.7" customHeight="1">
      <c r="A209" s="278" t="s">
        <v>729</v>
      </c>
      <c r="B209" s="589" t="s">
        <v>730</v>
      </c>
      <c r="C209" s="589"/>
      <c r="D209" s="589"/>
      <c r="E209" s="589"/>
      <c r="F209" s="589"/>
      <c r="G209" s="589"/>
      <c r="H209" s="267"/>
      <c r="I209" s="268" t="s">
        <v>3</v>
      </c>
      <c r="J209" s="251">
        <v>41396</v>
      </c>
      <c r="K209" s="279">
        <v>131.09</v>
      </c>
      <c r="L209" s="590" t="s">
        <v>356</v>
      </c>
      <c r="M209" s="589"/>
      <c r="N209" s="589"/>
      <c r="O209" s="589"/>
      <c r="P209" s="591"/>
      <c r="R209" s="254">
        <f t="shared" si="6"/>
        <v>148.65970138888889</v>
      </c>
      <c r="S209" s="255">
        <f t="shared" si="7"/>
        <v>0.53611111111111109</v>
      </c>
    </row>
    <row r="210" spans="1:19" ht="19.7" customHeight="1">
      <c r="A210" s="278" t="s">
        <v>731</v>
      </c>
      <c r="B210" s="589" t="s">
        <v>732</v>
      </c>
      <c r="C210" s="589"/>
      <c r="D210" s="589"/>
      <c r="E210" s="589"/>
      <c r="F210" s="589"/>
      <c r="G210" s="589"/>
      <c r="H210" s="267"/>
      <c r="I210" s="268" t="s">
        <v>3</v>
      </c>
      <c r="J210" s="251">
        <v>41397</v>
      </c>
      <c r="K210" s="279">
        <v>95.42</v>
      </c>
      <c r="L210" s="590" t="s">
        <v>356</v>
      </c>
      <c r="M210" s="589"/>
      <c r="N210" s="589"/>
      <c r="O210" s="589"/>
      <c r="P210" s="591"/>
      <c r="R210" s="254">
        <f t="shared" si="6"/>
        <v>108.14266666666667</v>
      </c>
      <c r="S210" s="255">
        <f t="shared" si="7"/>
        <v>0.53333333333333333</v>
      </c>
    </row>
    <row r="211" spans="1:19" ht="19.7" customHeight="1">
      <c r="A211" s="278" t="s">
        <v>733</v>
      </c>
      <c r="B211" s="589" t="s">
        <v>734</v>
      </c>
      <c r="C211" s="589"/>
      <c r="D211" s="589"/>
      <c r="E211" s="589"/>
      <c r="F211" s="589"/>
      <c r="G211" s="589"/>
      <c r="H211" s="267"/>
      <c r="I211" s="268" t="s">
        <v>3</v>
      </c>
      <c r="J211" s="251">
        <v>41398</v>
      </c>
      <c r="K211" s="279">
        <v>74.459999999999994</v>
      </c>
      <c r="L211" s="590" t="s">
        <v>356</v>
      </c>
      <c r="M211" s="589"/>
      <c r="N211" s="589"/>
      <c r="O211" s="589"/>
      <c r="P211" s="591"/>
      <c r="R211" s="254">
        <f t="shared" si="6"/>
        <v>84.336291666666668</v>
      </c>
      <c r="S211" s="255">
        <f t="shared" si="7"/>
        <v>0.53055555555555556</v>
      </c>
    </row>
    <row r="212" spans="1:19" ht="19.7" customHeight="1">
      <c r="A212" s="278" t="s">
        <v>735</v>
      </c>
      <c r="B212" s="589" t="s">
        <v>736</v>
      </c>
      <c r="C212" s="589"/>
      <c r="D212" s="589"/>
      <c r="E212" s="589"/>
      <c r="F212" s="589"/>
      <c r="G212" s="589"/>
      <c r="H212" s="267"/>
      <c r="I212" s="268" t="s">
        <v>3</v>
      </c>
      <c r="J212" s="251">
        <v>41399</v>
      </c>
      <c r="K212" s="279">
        <v>58.75</v>
      </c>
      <c r="L212" s="590" t="s">
        <v>356</v>
      </c>
      <c r="M212" s="589"/>
      <c r="N212" s="589"/>
      <c r="O212" s="589"/>
      <c r="P212" s="591"/>
      <c r="R212" s="254">
        <f t="shared" si="6"/>
        <v>66.501736111111114</v>
      </c>
      <c r="S212" s="255">
        <f t="shared" si="7"/>
        <v>0.52777777777777779</v>
      </c>
    </row>
    <row r="213" spans="1:19" ht="19.7" customHeight="1">
      <c r="A213" s="278" t="s">
        <v>737</v>
      </c>
      <c r="B213" s="589" t="s">
        <v>738</v>
      </c>
      <c r="C213" s="589"/>
      <c r="D213" s="589"/>
      <c r="E213" s="589"/>
      <c r="F213" s="589"/>
      <c r="G213" s="589"/>
      <c r="H213" s="267"/>
      <c r="I213" s="268" t="s">
        <v>3</v>
      </c>
      <c r="J213" s="251">
        <v>41389</v>
      </c>
      <c r="K213" s="279">
        <v>38.18</v>
      </c>
      <c r="L213" s="590" t="s">
        <v>363</v>
      </c>
      <c r="M213" s="589"/>
      <c r="N213" s="589"/>
      <c r="O213" s="589"/>
      <c r="P213" s="591"/>
      <c r="R213" s="254">
        <f t="shared" si="6"/>
        <v>43.482777777777777</v>
      </c>
      <c r="S213" s="255">
        <f t="shared" si="7"/>
        <v>0.55555555555555558</v>
      </c>
    </row>
    <row r="214" spans="1:19" ht="19.7" customHeight="1">
      <c r="A214" s="278" t="s">
        <v>739</v>
      </c>
      <c r="B214" s="589" t="s">
        <v>740</v>
      </c>
      <c r="C214" s="589"/>
      <c r="D214" s="589"/>
      <c r="E214" s="589"/>
      <c r="F214" s="589"/>
      <c r="G214" s="589"/>
      <c r="H214" s="267"/>
      <c r="I214" s="268" t="s">
        <v>3</v>
      </c>
      <c r="J214" s="251">
        <v>41389</v>
      </c>
      <c r="K214" s="279">
        <v>18.68</v>
      </c>
      <c r="L214" s="590" t="s">
        <v>363</v>
      </c>
      <c r="M214" s="589"/>
      <c r="N214" s="589"/>
      <c r="O214" s="589"/>
      <c r="P214" s="591"/>
      <c r="R214" s="254">
        <f t="shared" si="6"/>
        <v>21.274444444444445</v>
      </c>
      <c r="S214" s="255">
        <f t="shared" si="7"/>
        <v>0.55555555555555558</v>
      </c>
    </row>
    <row r="215" spans="1:19" ht="19.7" customHeight="1">
      <c r="A215" s="278" t="s">
        <v>741</v>
      </c>
      <c r="B215" s="589" t="s">
        <v>742</v>
      </c>
      <c r="C215" s="589"/>
      <c r="D215" s="589"/>
      <c r="E215" s="589"/>
      <c r="F215" s="589"/>
      <c r="G215" s="589"/>
      <c r="H215" s="267"/>
      <c r="I215" s="268" t="s">
        <v>3</v>
      </c>
      <c r="J215" s="251">
        <v>41363</v>
      </c>
      <c r="K215" s="279">
        <v>46.45</v>
      </c>
      <c r="L215" s="590" t="s">
        <v>363</v>
      </c>
      <c r="M215" s="589"/>
      <c r="N215" s="589"/>
      <c r="O215" s="589"/>
      <c r="P215" s="591"/>
      <c r="R215" s="254">
        <f t="shared" si="6"/>
        <v>53.707812500000003</v>
      </c>
      <c r="S215" s="255">
        <f t="shared" si="7"/>
        <v>0.625</v>
      </c>
    </row>
    <row r="216" spans="1:19" ht="19.7" customHeight="1">
      <c r="A216" s="278" t="s">
        <v>743</v>
      </c>
      <c r="B216" s="589" t="s">
        <v>744</v>
      </c>
      <c r="C216" s="589"/>
      <c r="D216" s="589"/>
      <c r="E216" s="589"/>
      <c r="F216" s="589"/>
      <c r="G216" s="589"/>
      <c r="H216" s="267"/>
      <c r="I216" s="268" t="s">
        <v>3</v>
      </c>
      <c r="J216" s="251">
        <v>41384</v>
      </c>
      <c r="K216" s="279">
        <v>327.36</v>
      </c>
      <c r="L216" s="590" t="s">
        <v>363</v>
      </c>
      <c r="M216" s="589"/>
      <c r="N216" s="589"/>
      <c r="O216" s="589"/>
      <c r="P216" s="591"/>
      <c r="R216" s="254">
        <f t="shared" si="6"/>
        <v>373.96333333333337</v>
      </c>
      <c r="S216" s="255">
        <f t="shared" si="7"/>
        <v>0.56944444444444442</v>
      </c>
    </row>
    <row r="217" spans="1:19" ht="19.7" customHeight="1">
      <c r="A217" s="278" t="s">
        <v>745</v>
      </c>
      <c r="B217" s="589" t="s">
        <v>746</v>
      </c>
      <c r="C217" s="589"/>
      <c r="D217" s="589"/>
      <c r="E217" s="589"/>
      <c r="F217" s="589"/>
      <c r="G217" s="589"/>
      <c r="H217" s="267" t="s">
        <v>747</v>
      </c>
      <c r="I217" s="268" t="s">
        <v>3</v>
      </c>
      <c r="J217" s="251">
        <v>41409</v>
      </c>
      <c r="K217" s="279">
        <v>10972.85</v>
      </c>
      <c r="L217" s="590" t="s">
        <v>356</v>
      </c>
      <c r="M217" s="589"/>
      <c r="N217" s="589"/>
      <c r="O217" s="589"/>
      <c r="P217" s="591"/>
      <c r="R217" s="254">
        <f t="shared" si="6"/>
        <v>12344.456250000001</v>
      </c>
      <c r="S217" s="255">
        <f t="shared" si="7"/>
        <v>0.5</v>
      </c>
    </row>
    <row r="218" spans="1:19" ht="19.7" customHeight="1">
      <c r="A218" s="289"/>
      <c r="B218" s="290" t="s">
        <v>748</v>
      </c>
      <c r="C218" s="291"/>
      <c r="D218" s="291"/>
      <c r="E218" s="291"/>
      <c r="F218" s="291"/>
      <c r="G218" s="292"/>
      <c r="H218" s="251"/>
      <c r="I218" s="252"/>
      <c r="J218" s="251"/>
      <c r="K218" s="269"/>
      <c r="L218" s="293"/>
      <c r="M218" s="291"/>
      <c r="N218" s="291"/>
      <c r="O218" s="291"/>
      <c r="P218" s="292"/>
      <c r="R218" s="254"/>
      <c r="S218" s="255"/>
    </row>
    <row r="219" spans="1:19" ht="19.7" customHeight="1">
      <c r="A219" s="278"/>
      <c r="B219" s="589" t="s">
        <v>1200</v>
      </c>
      <c r="C219" s="589"/>
      <c r="D219" s="589"/>
      <c r="E219" s="589"/>
      <c r="F219" s="589"/>
      <c r="G219" s="589"/>
      <c r="H219" s="267"/>
      <c r="I219" s="268" t="s">
        <v>3</v>
      </c>
      <c r="J219" s="251">
        <v>41588</v>
      </c>
      <c r="K219" s="279">
        <f>180/2.21</f>
        <v>81.447963800904972</v>
      </c>
      <c r="L219" s="590"/>
      <c r="M219" s="589"/>
      <c r="N219" s="589"/>
      <c r="O219" s="589"/>
      <c r="P219" s="591"/>
      <c r="R219" s="254">
        <f t="shared" ref="R219:R227" si="12">IF(J219&gt;0, K219*(1+(T$2/100)*S219), "")</f>
        <v>81.730769230769241</v>
      </c>
      <c r="S219" s="255">
        <f t="shared" ref="S219:S227" si="13">IF(K219&gt;0, DAYS360(J219,T$3)/360, "")</f>
        <v>1.3888888888888888E-2</v>
      </c>
    </row>
    <row r="220" spans="1:19" ht="19.7" customHeight="1">
      <c r="A220" s="278"/>
      <c r="B220" s="589" t="s">
        <v>1201</v>
      </c>
      <c r="C220" s="589"/>
      <c r="D220" s="589"/>
      <c r="E220" s="589"/>
      <c r="F220" s="589"/>
      <c r="G220" s="589"/>
      <c r="H220" s="267"/>
      <c r="I220" s="268" t="s">
        <v>3</v>
      </c>
      <c r="J220" s="251">
        <v>41588</v>
      </c>
      <c r="K220" s="279">
        <f>261/2.21</f>
        <v>118.09954751131222</v>
      </c>
      <c r="L220" s="590" t="s">
        <v>363</v>
      </c>
      <c r="M220" s="589"/>
      <c r="N220" s="589"/>
      <c r="O220" s="589"/>
      <c r="P220" s="591"/>
      <c r="R220" s="254">
        <f t="shared" si="12"/>
        <v>118.5096153846154</v>
      </c>
      <c r="S220" s="255">
        <f t="shared" si="13"/>
        <v>1.3888888888888888E-2</v>
      </c>
    </row>
    <row r="221" spans="1:19" ht="19.7" customHeight="1">
      <c r="A221" s="278"/>
      <c r="B221" s="589" t="s">
        <v>1202</v>
      </c>
      <c r="C221" s="589"/>
      <c r="D221" s="589"/>
      <c r="E221" s="589"/>
      <c r="F221" s="589"/>
      <c r="G221" s="589"/>
      <c r="H221" s="267"/>
      <c r="I221" s="268" t="s">
        <v>3</v>
      </c>
      <c r="J221" s="251">
        <v>41588</v>
      </c>
      <c r="K221" s="279">
        <f>560/2.21</f>
        <v>253.39366515837105</v>
      </c>
      <c r="L221" s="590" t="s">
        <v>363</v>
      </c>
      <c r="M221" s="589"/>
      <c r="N221" s="589"/>
      <c r="O221" s="589"/>
      <c r="P221" s="591"/>
      <c r="R221" s="254">
        <f t="shared" si="12"/>
        <v>254.2735042735043</v>
      </c>
      <c r="S221" s="255">
        <f t="shared" si="13"/>
        <v>1.3888888888888888E-2</v>
      </c>
    </row>
    <row r="222" spans="1:19" ht="20.25" customHeight="1">
      <c r="A222" s="278"/>
      <c r="B222" s="589" t="s">
        <v>1203</v>
      </c>
      <c r="C222" s="589"/>
      <c r="D222" s="589"/>
      <c r="E222" s="589"/>
      <c r="F222" s="589"/>
      <c r="G222" s="589"/>
      <c r="H222" s="267"/>
      <c r="I222" s="268" t="s">
        <v>3</v>
      </c>
      <c r="J222" s="251">
        <v>41588</v>
      </c>
      <c r="K222" s="279">
        <f>1180/1.21</f>
        <v>975.20661157024801</v>
      </c>
      <c r="L222" s="590" t="s">
        <v>363</v>
      </c>
      <c r="M222" s="589"/>
      <c r="N222" s="589"/>
      <c r="O222" s="589"/>
      <c r="P222" s="591"/>
      <c r="R222" s="254">
        <f t="shared" si="12"/>
        <v>978.59274563820031</v>
      </c>
      <c r="S222" s="255">
        <f t="shared" si="13"/>
        <v>1.3888888888888888E-2</v>
      </c>
    </row>
    <row r="223" spans="1:19" ht="19.7" customHeight="1">
      <c r="A223" s="278"/>
      <c r="B223" s="589" t="s">
        <v>1204</v>
      </c>
      <c r="C223" s="589"/>
      <c r="D223" s="589"/>
      <c r="E223" s="589"/>
      <c r="F223" s="589"/>
      <c r="G223" s="589"/>
      <c r="H223" s="267"/>
      <c r="I223" s="268" t="s">
        <v>3</v>
      </c>
      <c r="J223" s="251">
        <v>41588</v>
      </c>
      <c r="K223" s="279">
        <f>1300/1.21</f>
        <v>1074.3801652892562</v>
      </c>
      <c r="L223" s="590" t="s">
        <v>363</v>
      </c>
      <c r="M223" s="589"/>
      <c r="N223" s="589"/>
      <c r="O223" s="589"/>
      <c r="P223" s="591"/>
      <c r="R223" s="254">
        <f t="shared" si="12"/>
        <v>1078.1106519742884</v>
      </c>
      <c r="S223" s="255">
        <f t="shared" si="13"/>
        <v>1.3888888888888888E-2</v>
      </c>
    </row>
    <row r="224" spans="1:19" ht="19.7" customHeight="1">
      <c r="A224" s="278"/>
      <c r="B224" s="589" t="s">
        <v>1205</v>
      </c>
      <c r="C224" s="589"/>
      <c r="D224" s="589"/>
      <c r="E224" s="589"/>
      <c r="F224" s="589"/>
      <c r="G224" s="589"/>
      <c r="H224" s="267"/>
      <c r="I224" s="268" t="s">
        <v>3</v>
      </c>
      <c r="J224" s="251">
        <v>41588</v>
      </c>
      <c r="K224" s="279">
        <f>1800/1.21</f>
        <v>1487.6033057851241</v>
      </c>
      <c r="L224" s="590" t="s">
        <v>363</v>
      </c>
      <c r="M224" s="589"/>
      <c r="N224" s="589"/>
      <c r="O224" s="589"/>
      <c r="P224" s="591"/>
      <c r="R224" s="254">
        <f t="shared" si="12"/>
        <v>1492.7685950413227</v>
      </c>
      <c r="S224" s="255">
        <f t="shared" si="13"/>
        <v>1.3888888888888888E-2</v>
      </c>
    </row>
    <row r="225" spans="1:19" ht="19.7" customHeight="1">
      <c r="A225" s="278"/>
      <c r="B225" s="589" t="s">
        <v>1206</v>
      </c>
      <c r="C225" s="589"/>
      <c r="D225" s="589"/>
      <c r="E225" s="589"/>
      <c r="F225" s="589"/>
      <c r="G225" s="589"/>
      <c r="H225" s="267"/>
      <c r="I225" s="268" t="s">
        <v>3</v>
      </c>
      <c r="J225" s="251">
        <v>41588</v>
      </c>
      <c r="K225" s="279">
        <f>1200/1.21</f>
        <v>991.73553719008271</v>
      </c>
      <c r="L225" s="590" t="s">
        <v>363</v>
      </c>
      <c r="M225" s="589"/>
      <c r="N225" s="589"/>
      <c r="O225" s="589"/>
      <c r="P225" s="591"/>
      <c r="R225" s="254">
        <f t="shared" si="12"/>
        <v>995.17906336088174</v>
      </c>
      <c r="S225" s="255">
        <f t="shared" si="13"/>
        <v>1.3888888888888888E-2</v>
      </c>
    </row>
    <row r="226" spans="1:19" ht="19.7" customHeight="1">
      <c r="A226" s="278"/>
      <c r="B226" s="589" t="s">
        <v>1207</v>
      </c>
      <c r="C226" s="589"/>
      <c r="D226" s="589"/>
      <c r="E226" s="589"/>
      <c r="F226" s="589"/>
      <c r="G226" s="589"/>
      <c r="H226" s="267"/>
      <c r="I226" s="268" t="s">
        <v>3</v>
      </c>
      <c r="J226" s="251">
        <v>41588</v>
      </c>
      <c r="K226" s="279">
        <f>1900/1.21</f>
        <v>1570.2479338842975</v>
      </c>
      <c r="L226" s="590" t="s">
        <v>363</v>
      </c>
      <c r="M226" s="589"/>
      <c r="N226" s="589"/>
      <c r="O226" s="589"/>
      <c r="P226" s="591"/>
      <c r="R226" s="254">
        <f t="shared" si="12"/>
        <v>1575.7001836547292</v>
      </c>
      <c r="S226" s="255">
        <f t="shared" si="13"/>
        <v>1.3888888888888888E-2</v>
      </c>
    </row>
    <row r="227" spans="1:19" ht="19.7" customHeight="1">
      <c r="A227" s="278"/>
      <c r="B227" s="589" t="s">
        <v>1208</v>
      </c>
      <c r="C227" s="589"/>
      <c r="D227" s="589"/>
      <c r="E227" s="589"/>
      <c r="F227" s="589"/>
      <c r="G227" s="589"/>
      <c r="H227" s="267"/>
      <c r="I227" s="268" t="s">
        <v>3</v>
      </c>
      <c r="J227" s="251">
        <v>41588</v>
      </c>
      <c r="K227" s="279">
        <f>1800/1.21</f>
        <v>1487.6033057851241</v>
      </c>
      <c r="L227" s="590" t="s">
        <v>363</v>
      </c>
      <c r="M227" s="589"/>
      <c r="N227" s="589"/>
      <c r="O227" s="589"/>
      <c r="P227" s="591"/>
      <c r="R227" s="254">
        <f t="shared" si="12"/>
        <v>1492.7685950413227</v>
      </c>
      <c r="S227" s="255">
        <f t="shared" si="13"/>
        <v>1.3888888888888888E-2</v>
      </c>
    </row>
    <row r="228" spans="1:19" ht="19.7" customHeight="1">
      <c r="A228" s="278" t="s">
        <v>749</v>
      </c>
      <c r="B228" s="589" t="s">
        <v>750</v>
      </c>
      <c r="C228" s="589"/>
      <c r="D228" s="589"/>
      <c r="E228" s="589"/>
      <c r="F228" s="589"/>
      <c r="G228" s="589"/>
      <c r="H228" s="267" t="s">
        <v>751</v>
      </c>
      <c r="I228" s="268" t="s">
        <v>4</v>
      </c>
      <c r="J228" s="251">
        <v>41334</v>
      </c>
      <c r="K228" s="279">
        <f>39.53</f>
        <v>39.53</v>
      </c>
      <c r="L228" s="590" t="s">
        <v>356</v>
      </c>
      <c r="M228" s="589"/>
      <c r="N228" s="589"/>
      <c r="O228" s="589"/>
      <c r="P228" s="591"/>
      <c r="R228" s="254">
        <f t="shared" si="6"/>
        <v>46.502652777777783</v>
      </c>
      <c r="S228" s="255">
        <f t="shared" si="7"/>
        <v>0.7055555555555556</v>
      </c>
    </row>
    <row r="229" spans="1:19" ht="19.7" customHeight="1">
      <c r="A229" s="278" t="s">
        <v>752</v>
      </c>
      <c r="B229" s="590" t="s">
        <v>753</v>
      </c>
      <c r="C229" s="589"/>
      <c r="D229" s="589"/>
      <c r="E229" s="589"/>
      <c r="F229" s="589"/>
      <c r="G229" s="591"/>
      <c r="H229" s="267" t="s">
        <v>751</v>
      </c>
      <c r="I229" s="268" t="s">
        <v>4</v>
      </c>
      <c r="J229" s="251">
        <v>41334</v>
      </c>
      <c r="K229" s="279">
        <v>57.27</v>
      </c>
      <c r="L229" s="590" t="s">
        <v>356</v>
      </c>
      <c r="M229" s="589"/>
      <c r="N229" s="589"/>
      <c r="O229" s="589"/>
      <c r="P229" s="591"/>
      <c r="R229" s="254">
        <f t="shared" si="6"/>
        <v>67.371791666666667</v>
      </c>
      <c r="S229" s="255">
        <f t="shared" si="7"/>
        <v>0.7055555555555556</v>
      </c>
    </row>
    <row r="230" spans="1:19" ht="19.7" customHeight="1">
      <c r="A230" s="278" t="s">
        <v>754</v>
      </c>
      <c r="B230" s="590" t="s">
        <v>755</v>
      </c>
      <c r="C230" s="589"/>
      <c r="D230" s="589"/>
      <c r="E230" s="589"/>
      <c r="F230" s="589"/>
      <c r="G230" s="591"/>
      <c r="H230" s="267" t="s">
        <v>751</v>
      </c>
      <c r="I230" s="268" t="s">
        <v>4</v>
      </c>
      <c r="J230" s="251">
        <v>41334</v>
      </c>
      <c r="K230" s="279">
        <v>89.28</v>
      </c>
      <c r="L230" s="590" t="s">
        <v>356</v>
      </c>
      <c r="M230" s="589"/>
      <c r="N230" s="589"/>
      <c r="O230" s="589"/>
      <c r="P230" s="591"/>
      <c r="R230" s="254">
        <f t="shared" si="6"/>
        <v>105.02800000000001</v>
      </c>
      <c r="S230" s="255">
        <f t="shared" si="7"/>
        <v>0.7055555555555556</v>
      </c>
    </row>
    <row r="231" spans="1:19" ht="19.7" customHeight="1">
      <c r="A231" s="278" t="s">
        <v>756</v>
      </c>
      <c r="B231" s="590" t="s">
        <v>757</v>
      </c>
      <c r="C231" s="589"/>
      <c r="D231" s="589"/>
      <c r="E231" s="589"/>
      <c r="F231" s="589"/>
      <c r="G231" s="591"/>
      <c r="H231" s="267" t="s">
        <v>751</v>
      </c>
      <c r="I231" s="268" t="s">
        <v>4</v>
      </c>
      <c r="J231" s="251">
        <v>41334</v>
      </c>
      <c r="K231" s="279">
        <v>135.87</v>
      </c>
      <c r="L231" s="590" t="s">
        <v>356</v>
      </c>
      <c r="M231" s="589"/>
      <c r="N231" s="589"/>
      <c r="O231" s="589"/>
      <c r="P231" s="591"/>
      <c r="R231" s="254">
        <f t="shared" si="6"/>
        <v>159.83595833333334</v>
      </c>
      <c r="S231" s="255">
        <f t="shared" si="7"/>
        <v>0.7055555555555556</v>
      </c>
    </row>
    <row r="232" spans="1:19" ht="19.7" customHeight="1">
      <c r="A232" s="278" t="s">
        <v>758</v>
      </c>
      <c r="B232" s="590" t="s">
        <v>759</v>
      </c>
      <c r="C232" s="589"/>
      <c r="D232" s="589"/>
      <c r="E232" s="589"/>
      <c r="F232" s="589"/>
      <c r="G232" s="591"/>
      <c r="H232" s="267" t="s">
        <v>751</v>
      </c>
      <c r="I232" s="268" t="s">
        <v>4</v>
      </c>
      <c r="J232" s="251">
        <v>41334</v>
      </c>
      <c r="K232" s="279">
        <v>178.93</v>
      </c>
      <c r="L232" s="590" t="s">
        <v>356</v>
      </c>
      <c r="M232" s="589"/>
      <c r="N232" s="589"/>
      <c r="O232" s="589"/>
      <c r="P232" s="591"/>
      <c r="R232" s="254">
        <f t="shared" si="6"/>
        <v>210.49126388888891</v>
      </c>
      <c r="S232" s="255">
        <f t="shared" si="7"/>
        <v>0.7055555555555556</v>
      </c>
    </row>
    <row r="233" spans="1:19" ht="19.7" customHeight="1">
      <c r="A233" s="278" t="s">
        <v>760</v>
      </c>
      <c r="B233" s="590" t="s">
        <v>761</v>
      </c>
      <c r="C233" s="589"/>
      <c r="D233" s="589"/>
      <c r="E233" s="589"/>
      <c r="F233" s="589"/>
      <c r="G233" s="591"/>
      <c r="H233" s="267" t="s">
        <v>454</v>
      </c>
      <c r="I233" s="268" t="s">
        <v>3</v>
      </c>
      <c r="J233" s="251">
        <v>41334</v>
      </c>
      <c r="K233" s="279">
        <v>1280</v>
      </c>
      <c r="L233" s="590" t="s">
        <v>356</v>
      </c>
      <c r="M233" s="589"/>
      <c r="N233" s="589"/>
      <c r="O233" s="589"/>
      <c r="P233" s="591"/>
      <c r="R233" s="254">
        <f t="shared" si="6"/>
        <v>1505.7777777777778</v>
      </c>
      <c r="S233" s="255">
        <f t="shared" si="7"/>
        <v>0.7055555555555556</v>
      </c>
    </row>
    <row r="234" spans="1:19" ht="19.7" customHeight="1">
      <c r="A234" s="278" t="s">
        <v>762</v>
      </c>
      <c r="B234" s="590" t="s">
        <v>763</v>
      </c>
      <c r="C234" s="589"/>
      <c r="D234" s="589"/>
      <c r="E234" s="589"/>
      <c r="F234" s="589"/>
      <c r="G234" s="591"/>
      <c r="H234" s="267"/>
      <c r="I234" s="268" t="s">
        <v>3</v>
      </c>
      <c r="J234" s="251">
        <v>41529</v>
      </c>
      <c r="K234" s="279">
        <v>7500</v>
      </c>
      <c r="L234" s="590" t="s">
        <v>764</v>
      </c>
      <c r="M234" s="589"/>
      <c r="N234" s="589"/>
      <c r="O234" s="589"/>
      <c r="P234" s="591"/>
      <c r="R234" s="254">
        <f t="shared" si="6"/>
        <v>7828.125</v>
      </c>
      <c r="S234" s="255">
        <f t="shared" si="7"/>
        <v>0.17499999999999999</v>
      </c>
    </row>
    <row r="235" spans="1:19" ht="19.7" customHeight="1">
      <c r="A235" s="278" t="s">
        <v>765</v>
      </c>
      <c r="B235" s="590" t="s">
        <v>766</v>
      </c>
      <c r="C235" s="589"/>
      <c r="D235" s="589"/>
      <c r="E235" s="589"/>
      <c r="F235" s="589"/>
      <c r="G235" s="591"/>
      <c r="H235" s="267"/>
      <c r="I235" s="268" t="s">
        <v>3</v>
      </c>
      <c r="J235" s="251">
        <v>41529</v>
      </c>
      <c r="K235" s="279">
        <v>12700</v>
      </c>
      <c r="L235" s="590" t="s">
        <v>764</v>
      </c>
      <c r="M235" s="589"/>
      <c r="N235" s="589"/>
      <c r="O235" s="589"/>
      <c r="P235" s="591"/>
      <c r="R235" s="254">
        <f t="shared" si="6"/>
        <v>13255.625</v>
      </c>
      <c r="S235" s="255">
        <f t="shared" si="7"/>
        <v>0.17499999999999999</v>
      </c>
    </row>
    <row r="236" spans="1:19" ht="19.7" customHeight="1">
      <c r="A236" s="278" t="s">
        <v>767</v>
      </c>
      <c r="B236" s="590" t="s">
        <v>768</v>
      </c>
      <c r="C236" s="589"/>
      <c r="D236" s="589"/>
      <c r="E236" s="589"/>
      <c r="F236" s="589"/>
      <c r="G236" s="591"/>
      <c r="H236" s="267"/>
      <c r="I236" s="268" t="s">
        <v>3</v>
      </c>
      <c r="J236" s="251">
        <v>41529</v>
      </c>
      <c r="K236" s="279">
        <v>18000</v>
      </c>
      <c r="L236" s="590" t="s">
        <v>764</v>
      </c>
      <c r="M236" s="589"/>
      <c r="N236" s="589"/>
      <c r="O236" s="589"/>
      <c r="P236" s="591"/>
      <c r="R236" s="254">
        <f t="shared" si="6"/>
        <v>18787.5</v>
      </c>
      <c r="S236" s="255">
        <f t="shared" si="7"/>
        <v>0.17499999999999999</v>
      </c>
    </row>
    <row r="237" spans="1:19" ht="19.7" customHeight="1">
      <c r="A237" s="278" t="s">
        <v>769</v>
      </c>
      <c r="B237" s="590" t="s">
        <v>770</v>
      </c>
      <c r="C237" s="589"/>
      <c r="D237" s="589"/>
      <c r="E237" s="589"/>
      <c r="F237" s="589"/>
      <c r="G237" s="591"/>
      <c r="H237" s="267"/>
      <c r="I237" s="268" t="s">
        <v>3</v>
      </c>
      <c r="J237" s="251">
        <v>41529</v>
      </c>
      <c r="K237" s="279">
        <v>22400</v>
      </c>
      <c r="L237" s="590" t="s">
        <v>764</v>
      </c>
      <c r="M237" s="589"/>
      <c r="N237" s="589"/>
      <c r="O237" s="589"/>
      <c r="P237" s="591"/>
      <c r="R237" s="254">
        <f t="shared" si="6"/>
        <v>23380</v>
      </c>
      <c r="S237" s="255">
        <f t="shared" si="7"/>
        <v>0.17499999999999999</v>
      </c>
    </row>
    <row r="238" spans="1:19" ht="19.7" customHeight="1">
      <c r="A238" s="278" t="s">
        <v>771</v>
      </c>
      <c r="B238" s="590" t="s">
        <v>772</v>
      </c>
      <c r="C238" s="589"/>
      <c r="D238" s="589"/>
      <c r="E238" s="589"/>
      <c r="F238" s="589"/>
      <c r="G238" s="591"/>
      <c r="H238" s="267"/>
      <c r="I238" s="268" t="s">
        <v>3</v>
      </c>
      <c r="J238" s="251">
        <v>41548</v>
      </c>
      <c r="K238" s="279">
        <v>899</v>
      </c>
      <c r="L238" s="590" t="s">
        <v>382</v>
      </c>
      <c r="M238" s="589"/>
      <c r="N238" s="589"/>
      <c r="O238" s="589"/>
      <c r="P238" s="591"/>
      <c r="R238" s="254">
        <f t="shared" si="6"/>
        <v>926.46944444444432</v>
      </c>
      <c r="S238" s="255">
        <f t="shared" si="7"/>
        <v>0.12222222222222222</v>
      </c>
    </row>
    <row r="239" spans="1:19" ht="19.7" customHeight="1">
      <c r="A239" s="278" t="s">
        <v>773</v>
      </c>
      <c r="B239" s="590" t="s">
        <v>774</v>
      </c>
      <c r="C239" s="589"/>
      <c r="D239" s="589"/>
      <c r="E239" s="589"/>
      <c r="F239" s="589"/>
      <c r="G239" s="591"/>
      <c r="H239" s="267"/>
      <c r="I239" s="268" t="s">
        <v>3</v>
      </c>
      <c r="J239" s="251">
        <v>41548</v>
      </c>
      <c r="K239" s="279">
        <v>3790</v>
      </c>
      <c r="L239" s="590" t="s">
        <v>382</v>
      </c>
      <c r="M239" s="589"/>
      <c r="N239" s="589"/>
      <c r="O239" s="589"/>
      <c r="P239" s="591"/>
      <c r="R239" s="254">
        <f t="shared" si="6"/>
        <v>3905.8055555555552</v>
      </c>
      <c r="S239" s="255">
        <f t="shared" si="7"/>
        <v>0.12222222222222222</v>
      </c>
    </row>
    <row r="240" spans="1:19" ht="19.7" customHeight="1">
      <c r="A240" s="289"/>
      <c r="B240" s="290" t="s">
        <v>775</v>
      </c>
      <c r="C240" s="291"/>
      <c r="D240" s="291"/>
      <c r="E240" s="291"/>
      <c r="F240" s="291"/>
      <c r="G240" s="292"/>
      <c r="H240" s="251"/>
      <c r="I240" s="252"/>
      <c r="J240" s="251"/>
      <c r="K240" s="269"/>
      <c r="L240" s="293"/>
      <c r="M240" s="291"/>
      <c r="N240" s="291"/>
      <c r="O240" s="291"/>
      <c r="P240" s="292"/>
      <c r="R240" s="254"/>
      <c r="S240" s="255"/>
    </row>
    <row r="241" spans="1:19" ht="19.7" customHeight="1">
      <c r="A241" s="278" t="s">
        <v>773</v>
      </c>
      <c r="B241" s="590" t="s">
        <v>776</v>
      </c>
      <c r="C241" s="589"/>
      <c r="D241" s="589"/>
      <c r="E241" s="589"/>
      <c r="F241" s="589"/>
      <c r="G241" s="591"/>
      <c r="H241" s="267" t="s">
        <v>777</v>
      </c>
      <c r="I241" s="268" t="s">
        <v>3</v>
      </c>
      <c r="J241" s="251">
        <v>41409</v>
      </c>
      <c r="K241" s="279">
        <v>501.58</v>
      </c>
      <c r="L241" s="590" t="s">
        <v>356</v>
      </c>
      <c r="M241" s="589"/>
      <c r="N241" s="589"/>
      <c r="O241" s="589"/>
      <c r="P241" s="591"/>
      <c r="R241" s="254">
        <f>IF(J241&gt;0, K241*(1+(T$2/100)*S241), "")</f>
        <v>564.27750000000003</v>
      </c>
      <c r="S241" s="255">
        <f>IF(K241&gt;0, DAYS360(J241,T$3)/360, "")</f>
        <v>0.5</v>
      </c>
    </row>
    <row r="242" spans="1:19" ht="19.7" customHeight="1">
      <c r="A242" s="278" t="s">
        <v>778</v>
      </c>
      <c r="B242" s="590" t="s">
        <v>779</v>
      </c>
      <c r="C242" s="589"/>
      <c r="D242" s="589"/>
      <c r="E242" s="589"/>
      <c r="F242" s="589"/>
      <c r="G242" s="591"/>
      <c r="H242" s="267" t="s">
        <v>777</v>
      </c>
      <c r="I242" s="268" t="s">
        <v>3</v>
      </c>
      <c r="J242" s="251">
        <v>41334</v>
      </c>
      <c r="K242" s="279">
        <v>912.47</v>
      </c>
      <c r="L242" s="590" t="s">
        <v>356</v>
      </c>
      <c r="M242" s="589"/>
      <c r="N242" s="589"/>
      <c r="O242" s="589"/>
      <c r="P242" s="591"/>
      <c r="R242" s="254">
        <f t="shared" si="6"/>
        <v>1073.4195694444445</v>
      </c>
      <c r="S242" s="255">
        <f t="shared" si="7"/>
        <v>0.7055555555555556</v>
      </c>
    </row>
    <row r="243" spans="1:19" ht="19.7" customHeight="1">
      <c r="A243" s="278" t="s">
        <v>780</v>
      </c>
      <c r="B243" s="590" t="s">
        <v>781</v>
      </c>
      <c r="C243" s="589"/>
      <c r="D243" s="589"/>
      <c r="E243" s="589"/>
      <c r="F243" s="589"/>
      <c r="G243" s="591"/>
      <c r="H243" s="267" t="s">
        <v>777</v>
      </c>
      <c r="I243" s="268" t="s">
        <v>3</v>
      </c>
      <c r="J243" s="251">
        <v>41359</v>
      </c>
      <c r="K243" s="279">
        <v>288.02</v>
      </c>
      <c r="L243" s="590" t="s">
        <v>363</v>
      </c>
      <c r="M243" s="589"/>
      <c r="N243" s="589"/>
      <c r="O243" s="589"/>
      <c r="P243" s="591"/>
      <c r="R243" s="254">
        <f t="shared" si="6"/>
        <v>333.82318055555555</v>
      </c>
      <c r="S243" s="255">
        <f t="shared" si="7"/>
        <v>0.63611111111111107</v>
      </c>
    </row>
    <row r="244" spans="1:19" ht="19.7" customHeight="1">
      <c r="A244" s="278" t="s">
        <v>782</v>
      </c>
      <c r="B244" s="590" t="s">
        <v>783</v>
      </c>
      <c r="C244" s="589"/>
      <c r="D244" s="589"/>
      <c r="E244" s="589"/>
      <c r="F244" s="589"/>
      <c r="G244" s="591"/>
      <c r="H244" s="267" t="s">
        <v>777</v>
      </c>
      <c r="I244" s="268" t="s">
        <v>3</v>
      </c>
      <c r="J244" s="251">
        <v>41506</v>
      </c>
      <c r="K244" s="279">
        <v>1940.05</v>
      </c>
      <c r="L244" s="590" t="s">
        <v>784</v>
      </c>
      <c r="M244" s="589"/>
      <c r="N244" s="589"/>
      <c r="O244" s="589"/>
      <c r="P244" s="591"/>
      <c r="R244" s="254">
        <f t="shared" si="6"/>
        <v>2054.5668402777774</v>
      </c>
      <c r="S244" s="255">
        <f t="shared" si="7"/>
        <v>0.2361111111111111</v>
      </c>
    </row>
    <row r="245" spans="1:19" ht="19.7" customHeight="1">
      <c r="A245" s="278" t="s">
        <v>785</v>
      </c>
      <c r="B245" s="590" t="s">
        <v>786</v>
      </c>
      <c r="C245" s="589"/>
      <c r="D245" s="589"/>
      <c r="E245" s="589"/>
      <c r="F245" s="589"/>
      <c r="G245" s="591"/>
      <c r="H245" s="267" t="s">
        <v>777</v>
      </c>
      <c r="I245" s="268" t="s">
        <v>3</v>
      </c>
      <c r="J245" s="251">
        <v>41409</v>
      </c>
      <c r="K245" s="279">
        <v>333.08</v>
      </c>
      <c r="L245" s="590" t="s">
        <v>356</v>
      </c>
      <c r="M245" s="589"/>
      <c r="N245" s="589"/>
      <c r="O245" s="589"/>
      <c r="P245" s="591"/>
      <c r="R245" s="254">
        <f>IF(J245&gt;0, K245*(1+(T$2/100)*S245), "")</f>
        <v>374.71499999999997</v>
      </c>
      <c r="S245" s="255">
        <f>IF(K245&gt;0, DAYS360(J245,T$3)/360, "")</f>
        <v>0.5</v>
      </c>
    </row>
    <row r="246" spans="1:19" ht="19.7" customHeight="1">
      <c r="A246" s="278" t="s">
        <v>787</v>
      </c>
      <c r="B246" s="590" t="s">
        <v>788</v>
      </c>
      <c r="C246" s="589"/>
      <c r="D246" s="589"/>
      <c r="E246" s="589"/>
      <c r="F246" s="589"/>
      <c r="G246" s="591"/>
      <c r="H246" s="267" t="s">
        <v>777</v>
      </c>
      <c r="I246" s="268" t="s">
        <v>3</v>
      </c>
      <c r="J246" s="251">
        <v>41334</v>
      </c>
      <c r="K246" s="279">
        <v>436.84</v>
      </c>
      <c r="L246" s="590" t="s">
        <v>356</v>
      </c>
      <c r="M246" s="589"/>
      <c r="N246" s="589"/>
      <c r="O246" s="589"/>
      <c r="P246" s="591"/>
      <c r="R246" s="254">
        <f t="shared" si="6"/>
        <v>513.89372222222221</v>
      </c>
      <c r="S246" s="255">
        <f t="shared" si="7"/>
        <v>0.7055555555555556</v>
      </c>
    </row>
    <row r="247" spans="1:19" ht="19.7" customHeight="1">
      <c r="A247" s="278" t="s">
        <v>789</v>
      </c>
      <c r="B247" s="590" t="s">
        <v>790</v>
      </c>
      <c r="C247" s="589"/>
      <c r="D247" s="589"/>
      <c r="E247" s="589"/>
      <c r="F247" s="589"/>
      <c r="G247" s="591"/>
      <c r="H247" s="267" t="s">
        <v>777</v>
      </c>
      <c r="I247" s="268" t="s">
        <v>3</v>
      </c>
      <c r="J247" s="251">
        <v>41359</v>
      </c>
      <c r="K247" s="279">
        <v>203.92</v>
      </c>
      <c r="L247" s="590" t="s">
        <v>363</v>
      </c>
      <c r="M247" s="589"/>
      <c r="N247" s="589"/>
      <c r="O247" s="589"/>
      <c r="P247" s="591"/>
      <c r="R247" s="254">
        <f t="shared" si="6"/>
        <v>236.34894444444444</v>
      </c>
      <c r="S247" s="255">
        <f t="shared" si="7"/>
        <v>0.63611111111111107</v>
      </c>
    </row>
    <row r="248" spans="1:19" ht="19.7" customHeight="1">
      <c r="A248" s="278" t="s">
        <v>791</v>
      </c>
      <c r="B248" s="590" t="s">
        <v>792</v>
      </c>
      <c r="C248" s="589"/>
      <c r="D248" s="589"/>
      <c r="E248" s="589"/>
      <c r="F248" s="589"/>
      <c r="G248" s="591"/>
      <c r="H248" s="267" t="s">
        <v>777</v>
      </c>
      <c r="I248" s="268" t="s">
        <v>3</v>
      </c>
      <c r="J248" s="251">
        <v>41409</v>
      </c>
      <c r="K248" s="279">
        <v>631.83000000000004</v>
      </c>
      <c r="L248" s="590" t="s">
        <v>356</v>
      </c>
      <c r="M248" s="589"/>
      <c r="N248" s="589"/>
      <c r="O248" s="589"/>
      <c r="P248" s="591"/>
      <c r="R248" s="254">
        <f t="shared" si="6"/>
        <v>710.80875000000003</v>
      </c>
      <c r="S248" s="255">
        <f t="shared" si="7"/>
        <v>0.5</v>
      </c>
    </row>
    <row r="249" spans="1:19" ht="19.7" customHeight="1">
      <c r="A249" s="278" t="s">
        <v>793</v>
      </c>
      <c r="B249" s="590" t="s">
        <v>794</v>
      </c>
      <c r="C249" s="589"/>
      <c r="D249" s="589"/>
      <c r="E249" s="589"/>
      <c r="F249" s="589"/>
      <c r="G249" s="591"/>
      <c r="H249" s="267" t="s">
        <v>777</v>
      </c>
      <c r="I249" s="268" t="s">
        <v>3</v>
      </c>
      <c r="J249" s="251">
        <v>41334</v>
      </c>
      <c r="K249" s="279">
        <v>1206.3800000000001</v>
      </c>
      <c r="L249" s="590" t="s">
        <v>356</v>
      </c>
      <c r="M249" s="589"/>
      <c r="N249" s="589"/>
      <c r="O249" s="589"/>
      <c r="P249" s="591"/>
      <c r="R249" s="254">
        <f t="shared" si="6"/>
        <v>1419.1720277777779</v>
      </c>
      <c r="S249" s="255">
        <f t="shared" si="7"/>
        <v>0.7055555555555556</v>
      </c>
    </row>
    <row r="250" spans="1:19" ht="19.7" customHeight="1">
      <c r="A250" s="278" t="s">
        <v>795</v>
      </c>
      <c r="B250" s="590" t="s">
        <v>796</v>
      </c>
      <c r="C250" s="589"/>
      <c r="D250" s="589"/>
      <c r="E250" s="589"/>
      <c r="F250" s="589"/>
      <c r="G250" s="591"/>
      <c r="H250" s="267" t="s">
        <v>777</v>
      </c>
      <c r="I250" s="268" t="s">
        <v>3</v>
      </c>
      <c r="J250" s="251">
        <v>41341</v>
      </c>
      <c r="K250" s="279">
        <v>386.99</v>
      </c>
      <c r="L250" s="590" t="s">
        <v>363</v>
      </c>
      <c r="M250" s="589"/>
      <c r="N250" s="589"/>
      <c r="O250" s="589"/>
      <c r="P250" s="591"/>
      <c r="R250" s="254">
        <f t="shared" si="6"/>
        <v>453.36953472222223</v>
      </c>
      <c r="S250" s="255">
        <f t="shared" si="7"/>
        <v>0.68611111111111112</v>
      </c>
    </row>
    <row r="251" spans="1:19" ht="19.7" customHeight="1">
      <c r="A251" s="278" t="s">
        <v>797</v>
      </c>
      <c r="B251" s="590" t="s">
        <v>798</v>
      </c>
      <c r="C251" s="589"/>
      <c r="D251" s="589"/>
      <c r="E251" s="589"/>
      <c r="F251" s="589"/>
      <c r="G251" s="591"/>
      <c r="H251" s="267" t="s">
        <v>777</v>
      </c>
      <c r="I251" s="268" t="s">
        <v>3</v>
      </c>
      <c r="J251" s="251">
        <v>41409</v>
      </c>
      <c r="K251" s="279">
        <v>732.06</v>
      </c>
      <c r="L251" s="590" t="s">
        <v>356</v>
      </c>
      <c r="M251" s="589"/>
      <c r="N251" s="589"/>
      <c r="O251" s="589"/>
      <c r="P251" s="591"/>
      <c r="R251" s="254">
        <f>IF(J251&gt;0, K251*(1+(T$2/100)*S251), "")</f>
        <v>823.56749999999988</v>
      </c>
      <c r="S251" s="255">
        <f>IF(K251&gt;0, DAYS360(J251,T$3)/360, "")</f>
        <v>0.5</v>
      </c>
    </row>
    <row r="252" spans="1:19" ht="19.7" customHeight="1">
      <c r="A252" s="278" t="s">
        <v>799</v>
      </c>
      <c r="B252" s="590" t="s">
        <v>800</v>
      </c>
      <c r="C252" s="589"/>
      <c r="D252" s="589"/>
      <c r="E252" s="589"/>
      <c r="F252" s="589"/>
      <c r="G252" s="591"/>
      <c r="H252" s="267" t="s">
        <v>777</v>
      </c>
      <c r="I252" s="268" t="s">
        <v>3</v>
      </c>
      <c r="J252" s="251">
        <v>41334</v>
      </c>
      <c r="K252" s="279">
        <v>1481.83</v>
      </c>
      <c r="L252" s="590" t="s">
        <v>356</v>
      </c>
      <c r="M252" s="589"/>
      <c r="N252" s="589"/>
      <c r="O252" s="589"/>
      <c r="P252" s="591"/>
      <c r="R252" s="254">
        <f t="shared" ref="R252:R341" si="14">IF(J252&gt;0, K252*(1+(T$2/100)*S252), "")</f>
        <v>1743.2083472222223</v>
      </c>
      <c r="S252" s="255">
        <f t="shared" ref="S252:S341" si="15">IF(K252&gt;0, DAYS360(J252,T$3)/360, "")</f>
        <v>0.7055555555555556</v>
      </c>
    </row>
    <row r="253" spans="1:19" ht="19.7" customHeight="1">
      <c r="A253" s="278" t="s">
        <v>801</v>
      </c>
      <c r="B253" s="590" t="s">
        <v>802</v>
      </c>
      <c r="C253" s="589"/>
      <c r="D253" s="589"/>
      <c r="E253" s="589"/>
      <c r="F253" s="589"/>
      <c r="G253" s="591"/>
      <c r="H253" s="267" t="s">
        <v>777</v>
      </c>
      <c r="I253" s="268" t="s">
        <v>3</v>
      </c>
      <c r="J253" s="251">
        <v>41369</v>
      </c>
      <c r="K253" s="279">
        <v>422.27</v>
      </c>
      <c r="L253" s="590" t="s">
        <v>363</v>
      </c>
      <c r="M253" s="589"/>
      <c r="N253" s="589"/>
      <c r="O253" s="589"/>
      <c r="P253" s="591"/>
      <c r="R253" s="254">
        <f t="shared" si="14"/>
        <v>486.78347222222214</v>
      </c>
      <c r="S253" s="255">
        <f t="shared" si="15"/>
        <v>0.61111111111111116</v>
      </c>
    </row>
    <row r="254" spans="1:19" ht="19.7" customHeight="1">
      <c r="A254" s="278" t="s">
        <v>803</v>
      </c>
      <c r="B254" s="590" t="s">
        <v>804</v>
      </c>
      <c r="C254" s="589"/>
      <c r="D254" s="589"/>
      <c r="E254" s="589"/>
      <c r="F254" s="589"/>
      <c r="G254" s="591"/>
      <c r="H254" s="267" t="s">
        <v>777</v>
      </c>
      <c r="I254" s="268" t="s">
        <v>3</v>
      </c>
      <c r="J254" s="251">
        <v>41334</v>
      </c>
      <c r="K254" s="279">
        <v>1373.64</v>
      </c>
      <c r="L254" s="590" t="s">
        <v>356</v>
      </c>
      <c r="M254" s="589"/>
      <c r="N254" s="589"/>
      <c r="O254" s="589"/>
      <c r="P254" s="591"/>
      <c r="R254" s="254">
        <f t="shared" si="14"/>
        <v>1615.9348333333335</v>
      </c>
      <c r="S254" s="255">
        <f t="shared" si="15"/>
        <v>0.7055555555555556</v>
      </c>
    </row>
    <row r="255" spans="1:19" ht="19.7" customHeight="1">
      <c r="A255" s="278" t="s">
        <v>805</v>
      </c>
      <c r="B255" s="590" t="s">
        <v>806</v>
      </c>
      <c r="C255" s="589"/>
      <c r="D255" s="589"/>
      <c r="E255" s="589"/>
      <c r="F255" s="589"/>
      <c r="G255" s="591"/>
      <c r="H255" s="267" t="s">
        <v>777</v>
      </c>
      <c r="I255" s="268" t="s">
        <v>3</v>
      </c>
      <c r="J255" s="251">
        <v>41506</v>
      </c>
      <c r="K255" s="279">
        <v>1346.58</v>
      </c>
      <c r="L255" s="590" t="s">
        <v>784</v>
      </c>
      <c r="M255" s="589"/>
      <c r="N255" s="589"/>
      <c r="O255" s="589"/>
      <c r="P255" s="591"/>
      <c r="R255" s="254">
        <f t="shared" si="14"/>
        <v>1426.0656249999997</v>
      </c>
      <c r="S255" s="255">
        <f t="shared" si="15"/>
        <v>0.2361111111111111</v>
      </c>
    </row>
    <row r="256" spans="1:19" ht="19.7" customHeight="1">
      <c r="A256" s="278" t="s">
        <v>807</v>
      </c>
      <c r="B256" s="590" t="s">
        <v>808</v>
      </c>
      <c r="C256" s="589"/>
      <c r="D256" s="589"/>
      <c r="E256" s="589"/>
      <c r="F256" s="589"/>
      <c r="G256" s="591"/>
      <c r="H256" s="267" t="s">
        <v>777</v>
      </c>
      <c r="I256" s="268" t="s">
        <v>3</v>
      </c>
      <c r="J256" s="251">
        <v>41409</v>
      </c>
      <c r="K256" s="279">
        <v>459.13</v>
      </c>
      <c r="L256" s="590" t="s">
        <v>356</v>
      </c>
      <c r="M256" s="589"/>
      <c r="N256" s="589"/>
      <c r="O256" s="589"/>
      <c r="P256" s="591"/>
      <c r="R256" s="254">
        <f t="shared" si="14"/>
        <v>516.52125000000001</v>
      </c>
      <c r="S256" s="255">
        <f t="shared" si="15"/>
        <v>0.5</v>
      </c>
    </row>
    <row r="257" spans="1:19" ht="19.7" customHeight="1">
      <c r="A257" s="278" t="s">
        <v>809</v>
      </c>
      <c r="B257" s="590" t="s">
        <v>810</v>
      </c>
      <c r="C257" s="589"/>
      <c r="D257" s="589"/>
      <c r="E257" s="589"/>
      <c r="F257" s="589"/>
      <c r="G257" s="591"/>
      <c r="H257" s="267" t="s">
        <v>777</v>
      </c>
      <c r="I257" s="268" t="s">
        <v>3</v>
      </c>
      <c r="J257" s="251">
        <v>41334</v>
      </c>
      <c r="K257" s="279">
        <v>980.59</v>
      </c>
      <c r="L257" s="590" t="s">
        <v>356</v>
      </c>
      <c r="M257" s="589"/>
      <c r="N257" s="589"/>
      <c r="O257" s="589"/>
      <c r="P257" s="591"/>
      <c r="R257" s="254">
        <f t="shared" si="14"/>
        <v>1153.5551805555556</v>
      </c>
      <c r="S257" s="255">
        <f t="shared" si="15"/>
        <v>0.7055555555555556</v>
      </c>
    </row>
    <row r="258" spans="1:19" ht="19.7" customHeight="1">
      <c r="A258" s="278" t="s">
        <v>811</v>
      </c>
      <c r="B258" s="590" t="s">
        <v>812</v>
      </c>
      <c r="C258" s="589"/>
      <c r="D258" s="589"/>
      <c r="E258" s="589"/>
      <c r="F258" s="589"/>
      <c r="G258" s="591"/>
      <c r="H258" s="267" t="s">
        <v>777</v>
      </c>
      <c r="I258" s="268" t="s">
        <v>3</v>
      </c>
      <c r="J258" s="251">
        <v>41369</v>
      </c>
      <c r="K258" s="279">
        <v>138.93</v>
      </c>
      <c r="L258" s="590" t="s">
        <v>363</v>
      </c>
      <c r="M258" s="589"/>
      <c r="N258" s="589"/>
      <c r="O258" s="589"/>
      <c r="P258" s="591"/>
      <c r="R258" s="254">
        <f t="shared" si="14"/>
        <v>160.15541666666667</v>
      </c>
      <c r="S258" s="255">
        <f t="shared" si="15"/>
        <v>0.61111111111111116</v>
      </c>
    </row>
    <row r="259" spans="1:19" ht="19.7" customHeight="1">
      <c r="A259" s="278" t="s">
        <v>813</v>
      </c>
      <c r="B259" s="590" t="s">
        <v>814</v>
      </c>
      <c r="C259" s="589"/>
      <c r="D259" s="589"/>
      <c r="E259" s="589"/>
      <c r="F259" s="589"/>
      <c r="G259" s="591"/>
      <c r="H259" s="267" t="s">
        <v>777</v>
      </c>
      <c r="I259" s="268" t="s">
        <v>3</v>
      </c>
      <c r="J259" s="251">
        <v>41334</v>
      </c>
      <c r="K259" s="279">
        <v>1301.06</v>
      </c>
      <c r="L259" s="590" t="s">
        <v>356</v>
      </c>
      <c r="M259" s="589"/>
      <c r="N259" s="589"/>
      <c r="O259" s="589"/>
      <c r="P259" s="591"/>
      <c r="R259" s="254">
        <f t="shared" si="14"/>
        <v>1530.5525277777779</v>
      </c>
      <c r="S259" s="255">
        <f t="shared" si="15"/>
        <v>0.7055555555555556</v>
      </c>
    </row>
    <row r="260" spans="1:19" ht="19.7" customHeight="1">
      <c r="A260" s="278" t="s">
        <v>815</v>
      </c>
      <c r="B260" s="590" t="s">
        <v>816</v>
      </c>
      <c r="C260" s="589"/>
      <c r="D260" s="589"/>
      <c r="E260" s="589"/>
      <c r="F260" s="589"/>
      <c r="G260" s="591"/>
      <c r="H260" s="267" t="s">
        <v>777</v>
      </c>
      <c r="I260" s="268" t="s">
        <v>3</v>
      </c>
      <c r="J260" s="251">
        <v>41506</v>
      </c>
      <c r="K260" s="279">
        <v>1275.44</v>
      </c>
      <c r="L260" s="590" t="s">
        <v>784</v>
      </c>
      <c r="M260" s="589"/>
      <c r="N260" s="589"/>
      <c r="O260" s="589"/>
      <c r="P260" s="591"/>
      <c r="R260" s="254">
        <f t="shared" si="14"/>
        <v>1350.7263888888888</v>
      </c>
      <c r="S260" s="255">
        <f t="shared" si="15"/>
        <v>0.2361111111111111</v>
      </c>
    </row>
    <row r="261" spans="1:19" ht="19.7" customHeight="1">
      <c r="A261" s="278" t="s">
        <v>817</v>
      </c>
      <c r="B261" s="590" t="s">
        <v>818</v>
      </c>
      <c r="C261" s="589"/>
      <c r="D261" s="589"/>
      <c r="E261" s="589"/>
      <c r="F261" s="589"/>
      <c r="G261" s="591"/>
      <c r="H261" s="267"/>
      <c r="I261" s="268" t="s">
        <v>3</v>
      </c>
      <c r="J261" s="251">
        <v>41409</v>
      </c>
      <c r="K261" s="279">
        <v>2521.5100000000002</v>
      </c>
      <c r="L261" s="590" t="s">
        <v>356</v>
      </c>
      <c r="M261" s="589"/>
      <c r="N261" s="589"/>
      <c r="O261" s="589"/>
      <c r="P261" s="591"/>
      <c r="R261" s="254">
        <f t="shared" si="14"/>
        <v>2836.6987500000005</v>
      </c>
      <c r="S261" s="255">
        <f t="shared" si="15"/>
        <v>0.5</v>
      </c>
    </row>
    <row r="262" spans="1:19" ht="19.7" customHeight="1">
      <c r="A262" s="278" t="s">
        <v>819</v>
      </c>
      <c r="B262" s="590" t="s">
        <v>820</v>
      </c>
      <c r="C262" s="589"/>
      <c r="D262" s="589"/>
      <c r="E262" s="589"/>
      <c r="F262" s="589"/>
      <c r="G262" s="591"/>
      <c r="H262" s="267" t="s">
        <v>777</v>
      </c>
      <c r="I262" s="268" t="s">
        <v>3</v>
      </c>
      <c r="J262" s="251">
        <v>41409</v>
      </c>
      <c r="K262" s="279">
        <v>318.72000000000003</v>
      </c>
      <c r="L262" s="590" t="s">
        <v>356</v>
      </c>
      <c r="M262" s="589"/>
      <c r="N262" s="589"/>
      <c r="O262" s="589"/>
      <c r="P262" s="591"/>
      <c r="R262" s="254">
        <f>IF(J262&gt;0, K262*(1+(T$2/100)*S262), "")</f>
        <v>358.56000000000006</v>
      </c>
      <c r="S262" s="255">
        <f>IF(K262&gt;0, DAYS360(J262,T$3)/360, "")</f>
        <v>0.5</v>
      </c>
    </row>
    <row r="263" spans="1:19" ht="19.7" customHeight="1">
      <c r="A263" s="278" t="s">
        <v>821</v>
      </c>
      <c r="B263" s="590" t="s">
        <v>822</v>
      </c>
      <c r="C263" s="589"/>
      <c r="D263" s="589"/>
      <c r="E263" s="589"/>
      <c r="F263" s="589"/>
      <c r="G263" s="591"/>
      <c r="H263" s="267" t="s">
        <v>777</v>
      </c>
      <c r="I263" s="268" t="s">
        <v>3</v>
      </c>
      <c r="J263" s="251">
        <v>41506</v>
      </c>
      <c r="K263" s="279">
        <v>192.85</v>
      </c>
      <c r="L263" s="590" t="s">
        <v>784</v>
      </c>
      <c r="M263" s="589"/>
      <c r="N263" s="589"/>
      <c r="O263" s="589"/>
      <c r="P263" s="591"/>
      <c r="R263" s="254">
        <f t="shared" si="14"/>
        <v>204.23350694444443</v>
      </c>
      <c r="S263" s="255">
        <f t="shared" si="15"/>
        <v>0.2361111111111111</v>
      </c>
    </row>
    <row r="264" spans="1:19" ht="19.7" customHeight="1">
      <c r="A264" s="278" t="s">
        <v>823</v>
      </c>
      <c r="B264" s="590" t="s">
        <v>824</v>
      </c>
      <c r="C264" s="589"/>
      <c r="D264" s="589"/>
      <c r="E264" s="589"/>
      <c r="F264" s="589"/>
      <c r="G264" s="591"/>
      <c r="H264" s="267" t="s">
        <v>777</v>
      </c>
      <c r="I264" s="268" t="s">
        <v>3</v>
      </c>
      <c r="J264" s="251">
        <v>41334</v>
      </c>
      <c r="K264" s="279">
        <v>1639.76</v>
      </c>
      <c r="L264" s="590" t="s">
        <v>356</v>
      </c>
      <c r="M264" s="589"/>
      <c r="N264" s="589"/>
      <c r="O264" s="589"/>
      <c r="P264" s="591"/>
      <c r="R264" s="254">
        <f t="shared" si="14"/>
        <v>1928.9954444444445</v>
      </c>
      <c r="S264" s="255">
        <f t="shared" si="15"/>
        <v>0.7055555555555556</v>
      </c>
    </row>
    <row r="265" spans="1:19" ht="19.7" customHeight="1">
      <c r="A265" s="278" t="s">
        <v>825</v>
      </c>
      <c r="B265" s="590" t="s">
        <v>826</v>
      </c>
      <c r="C265" s="589"/>
      <c r="D265" s="589"/>
      <c r="E265" s="589"/>
      <c r="F265" s="589"/>
      <c r="G265" s="591"/>
      <c r="H265" s="267" t="s">
        <v>777</v>
      </c>
      <c r="I265" s="268" t="s">
        <v>3</v>
      </c>
      <c r="J265" s="251">
        <v>41506</v>
      </c>
      <c r="K265" s="279">
        <v>1962.07</v>
      </c>
      <c r="L265" s="590" t="s">
        <v>784</v>
      </c>
      <c r="M265" s="589"/>
      <c r="N265" s="589"/>
      <c r="O265" s="589"/>
      <c r="P265" s="591"/>
      <c r="R265" s="254">
        <f t="shared" si="14"/>
        <v>2077.8866319444442</v>
      </c>
      <c r="S265" s="255">
        <f t="shared" si="15"/>
        <v>0.2361111111111111</v>
      </c>
    </row>
    <row r="266" spans="1:19" ht="19.7" customHeight="1">
      <c r="A266" s="278" t="s">
        <v>827</v>
      </c>
      <c r="B266" s="590" t="s">
        <v>828</v>
      </c>
      <c r="C266" s="589"/>
      <c r="D266" s="589"/>
      <c r="E266" s="589"/>
      <c r="F266" s="589"/>
      <c r="G266" s="591"/>
      <c r="H266" s="267"/>
      <c r="I266" s="268" t="s">
        <v>3</v>
      </c>
      <c r="J266" s="251">
        <v>41409</v>
      </c>
      <c r="K266" s="279">
        <v>77.680000000000007</v>
      </c>
      <c r="L266" s="590" t="s">
        <v>356</v>
      </c>
      <c r="M266" s="589"/>
      <c r="N266" s="589"/>
      <c r="O266" s="589"/>
      <c r="P266" s="591"/>
      <c r="R266" s="254">
        <f t="shared" si="14"/>
        <v>87.390000000000015</v>
      </c>
      <c r="S266" s="255">
        <f t="shared" si="15"/>
        <v>0.5</v>
      </c>
    </row>
    <row r="267" spans="1:19" ht="19.7" customHeight="1">
      <c r="A267" s="278" t="s">
        <v>829</v>
      </c>
      <c r="B267" s="590" t="s">
        <v>830</v>
      </c>
      <c r="C267" s="589"/>
      <c r="D267" s="589"/>
      <c r="E267" s="589"/>
      <c r="F267" s="589"/>
      <c r="G267" s="591"/>
      <c r="H267" s="267"/>
      <c r="I267" s="268" t="s">
        <v>3</v>
      </c>
      <c r="J267" s="251">
        <v>41409</v>
      </c>
      <c r="K267" s="279">
        <v>13.33</v>
      </c>
      <c r="L267" s="590" t="s">
        <v>356</v>
      </c>
      <c r="M267" s="589"/>
      <c r="N267" s="589"/>
      <c r="O267" s="589"/>
      <c r="P267" s="591"/>
      <c r="R267" s="254">
        <f t="shared" si="14"/>
        <v>14.99625</v>
      </c>
      <c r="S267" s="255">
        <f t="shared" si="15"/>
        <v>0.5</v>
      </c>
    </row>
    <row r="268" spans="1:19" ht="19.7" customHeight="1">
      <c r="A268" s="278" t="s">
        <v>831</v>
      </c>
      <c r="B268" s="590" t="s">
        <v>832</v>
      </c>
      <c r="C268" s="589"/>
      <c r="D268" s="589"/>
      <c r="E268" s="589"/>
      <c r="F268" s="589"/>
      <c r="G268" s="591"/>
      <c r="H268" s="267"/>
      <c r="I268" s="268" t="s">
        <v>3</v>
      </c>
      <c r="J268" s="251">
        <v>41409</v>
      </c>
      <c r="K268" s="279">
        <v>58.18</v>
      </c>
      <c r="L268" s="590" t="s">
        <v>356</v>
      </c>
      <c r="M268" s="589"/>
      <c r="N268" s="589"/>
      <c r="O268" s="589"/>
      <c r="P268" s="591"/>
      <c r="R268" s="254">
        <f t="shared" si="14"/>
        <v>65.452500000000001</v>
      </c>
      <c r="S268" s="255">
        <f t="shared" si="15"/>
        <v>0.5</v>
      </c>
    </row>
    <row r="269" spans="1:19" ht="19.7" customHeight="1">
      <c r="A269" s="278" t="s">
        <v>833</v>
      </c>
      <c r="B269" s="590" t="s">
        <v>834</v>
      </c>
      <c r="C269" s="589"/>
      <c r="D269" s="589"/>
      <c r="E269" s="589"/>
      <c r="F269" s="589"/>
      <c r="G269" s="591"/>
      <c r="H269" s="267"/>
      <c r="I269" s="268" t="s">
        <v>3</v>
      </c>
      <c r="J269" s="251">
        <v>41409</v>
      </c>
      <c r="K269" s="279">
        <v>42.39</v>
      </c>
      <c r="L269" s="590" t="s">
        <v>356</v>
      </c>
      <c r="M269" s="589"/>
      <c r="N269" s="589"/>
      <c r="O269" s="589"/>
      <c r="P269" s="591"/>
      <c r="R269" s="254">
        <f t="shared" si="14"/>
        <v>47.688749999999999</v>
      </c>
      <c r="S269" s="255">
        <f t="shared" si="15"/>
        <v>0.5</v>
      </c>
    </row>
    <row r="270" spans="1:19" ht="19.7" customHeight="1">
      <c r="A270" s="289"/>
      <c r="B270" s="290" t="s">
        <v>835</v>
      </c>
      <c r="C270" s="291"/>
      <c r="D270" s="291"/>
      <c r="E270" s="291"/>
      <c r="F270" s="291"/>
      <c r="G270" s="292"/>
      <c r="H270" s="251"/>
      <c r="I270" s="252"/>
      <c r="J270" s="251"/>
      <c r="K270" s="269"/>
      <c r="L270" s="293"/>
      <c r="M270" s="291"/>
      <c r="N270" s="291"/>
      <c r="O270" s="291"/>
      <c r="P270" s="292"/>
      <c r="R270" s="254"/>
      <c r="S270" s="255"/>
    </row>
    <row r="271" spans="1:19" ht="19.7" customHeight="1">
      <c r="A271" s="278" t="s">
        <v>836</v>
      </c>
      <c r="B271" s="590" t="s">
        <v>837</v>
      </c>
      <c r="C271" s="589"/>
      <c r="D271" s="589"/>
      <c r="E271" s="589"/>
      <c r="F271" s="589"/>
      <c r="G271" s="591"/>
      <c r="H271" s="267" t="s">
        <v>838</v>
      </c>
      <c r="I271" s="268" t="s">
        <v>3</v>
      </c>
      <c r="J271" s="251">
        <v>41334</v>
      </c>
      <c r="K271" s="279">
        <v>730.82</v>
      </c>
      <c r="L271" s="590" t="s">
        <v>356</v>
      </c>
      <c r="M271" s="589"/>
      <c r="N271" s="589"/>
      <c r="O271" s="589"/>
      <c r="P271" s="591"/>
      <c r="R271" s="254">
        <f t="shared" si="14"/>
        <v>859.72852777777791</v>
      </c>
      <c r="S271" s="255">
        <f t="shared" si="15"/>
        <v>0.7055555555555556</v>
      </c>
    </row>
    <row r="272" spans="1:19" ht="19.7" customHeight="1">
      <c r="A272" s="278" t="s">
        <v>839</v>
      </c>
      <c r="B272" s="590" t="s">
        <v>840</v>
      </c>
      <c r="C272" s="589"/>
      <c r="D272" s="589"/>
      <c r="E272" s="589"/>
      <c r="F272" s="589"/>
      <c r="G272" s="591"/>
      <c r="H272" s="267" t="s">
        <v>841</v>
      </c>
      <c r="I272" s="268" t="s">
        <v>3</v>
      </c>
      <c r="J272" s="251">
        <v>41339</v>
      </c>
      <c r="K272" s="279">
        <v>412.83</v>
      </c>
      <c r="L272" s="590" t="s">
        <v>363</v>
      </c>
      <c r="M272" s="589"/>
      <c r="N272" s="589"/>
      <c r="O272" s="589"/>
      <c r="P272" s="591"/>
      <c r="R272" s="254">
        <f t="shared" si="14"/>
        <v>484.21518749999996</v>
      </c>
      <c r="S272" s="255">
        <f t="shared" si="15"/>
        <v>0.69166666666666665</v>
      </c>
    </row>
    <row r="273" spans="1:19" ht="19.7" customHeight="1">
      <c r="A273" s="278" t="s">
        <v>842</v>
      </c>
      <c r="B273" s="590" t="s">
        <v>843</v>
      </c>
      <c r="C273" s="589"/>
      <c r="D273" s="589"/>
      <c r="E273" s="589"/>
      <c r="F273" s="589"/>
      <c r="G273" s="591"/>
      <c r="H273" s="267" t="s">
        <v>838</v>
      </c>
      <c r="I273" s="268" t="s">
        <v>3</v>
      </c>
      <c r="J273" s="251">
        <v>41334</v>
      </c>
      <c r="K273" s="279">
        <v>938.98</v>
      </c>
      <c r="L273" s="590" t="s">
        <v>356</v>
      </c>
      <c r="M273" s="589"/>
      <c r="N273" s="589"/>
      <c r="O273" s="589"/>
      <c r="P273" s="591"/>
      <c r="R273" s="254">
        <f t="shared" si="14"/>
        <v>1104.605638888889</v>
      </c>
      <c r="S273" s="255">
        <f t="shared" si="15"/>
        <v>0.7055555555555556</v>
      </c>
    </row>
    <row r="274" spans="1:19" ht="19.7" customHeight="1">
      <c r="A274" s="278" t="s">
        <v>844</v>
      </c>
      <c r="B274" s="590" t="s">
        <v>845</v>
      </c>
      <c r="C274" s="589"/>
      <c r="D274" s="589"/>
      <c r="E274" s="589"/>
      <c r="F274" s="589"/>
      <c r="G274" s="591"/>
      <c r="H274" s="267" t="s">
        <v>838</v>
      </c>
      <c r="I274" s="268" t="s">
        <v>3</v>
      </c>
      <c r="J274" s="251">
        <v>41334</v>
      </c>
      <c r="K274" s="279">
        <v>810.14</v>
      </c>
      <c r="L274" s="590" t="s">
        <v>356</v>
      </c>
      <c r="M274" s="589"/>
      <c r="N274" s="589"/>
      <c r="O274" s="589"/>
      <c r="P274" s="591"/>
      <c r="R274" s="254">
        <f t="shared" si="14"/>
        <v>953.03969444444442</v>
      </c>
      <c r="S274" s="255">
        <f t="shared" si="15"/>
        <v>0.7055555555555556</v>
      </c>
    </row>
    <row r="275" spans="1:19" ht="19.7" customHeight="1">
      <c r="A275" s="278" t="s">
        <v>846</v>
      </c>
      <c r="B275" s="590" t="s">
        <v>847</v>
      </c>
      <c r="C275" s="589"/>
      <c r="D275" s="589"/>
      <c r="E275" s="589"/>
      <c r="F275" s="589"/>
      <c r="G275" s="591"/>
      <c r="H275" s="267" t="s">
        <v>838</v>
      </c>
      <c r="I275" s="268" t="s">
        <v>3</v>
      </c>
      <c r="J275" s="251">
        <v>41341</v>
      </c>
      <c r="K275" s="279">
        <v>741.71</v>
      </c>
      <c r="L275" s="590" t="s">
        <v>363</v>
      </c>
      <c r="M275" s="589"/>
      <c r="N275" s="589"/>
      <c r="O275" s="589"/>
      <c r="P275" s="591"/>
      <c r="R275" s="254">
        <f t="shared" si="14"/>
        <v>868.93386805555554</v>
      </c>
      <c r="S275" s="255">
        <f t="shared" si="15"/>
        <v>0.68611111111111112</v>
      </c>
    </row>
    <row r="276" spans="1:19" ht="19.7" customHeight="1">
      <c r="A276" s="278" t="s">
        <v>848</v>
      </c>
      <c r="B276" s="590" t="s">
        <v>849</v>
      </c>
      <c r="C276" s="589"/>
      <c r="D276" s="589"/>
      <c r="E276" s="589"/>
      <c r="F276" s="589"/>
      <c r="G276" s="591"/>
      <c r="H276" s="267" t="s">
        <v>841</v>
      </c>
      <c r="I276" s="268" t="s">
        <v>3</v>
      </c>
      <c r="J276" s="251">
        <v>41339</v>
      </c>
      <c r="K276" s="279">
        <v>446.14</v>
      </c>
      <c r="L276" s="590" t="s">
        <v>363</v>
      </c>
      <c r="M276" s="589"/>
      <c r="N276" s="589"/>
      <c r="O276" s="589"/>
      <c r="P276" s="591"/>
      <c r="R276" s="254">
        <f t="shared" si="14"/>
        <v>523.28504166666664</v>
      </c>
      <c r="S276" s="255">
        <f t="shared" si="15"/>
        <v>0.69166666666666665</v>
      </c>
    </row>
    <row r="277" spans="1:19" ht="19.7" customHeight="1">
      <c r="A277" s="278" t="s">
        <v>850</v>
      </c>
      <c r="B277" s="590" t="s">
        <v>851</v>
      </c>
      <c r="C277" s="589"/>
      <c r="D277" s="589"/>
      <c r="E277" s="589"/>
      <c r="F277" s="589"/>
      <c r="G277" s="591"/>
      <c r="H277" s="267" t="s">
        <v>838</v>
      </c>
      <c r="I277" s="268" t="s">
        <v>3</v>
      </c>
      <c r="J277" s="251">
        <v>41394</v>
      </c>
      <c r="K277" s="279">
        <v>703.45</v>
      </c>
      <c r="L277" s="590" t="s">
        <v>363</v>
      </c>
      <c r="M277" s="589"/>
      <c r="N277" s="589"/>
      <c r="O277" s="589"/>
      <c r="P277" s="591"/>
      <c r="R277" s="254">
        <f t="shared" si="14"/>
        <v>798.70885416666681</v>
      </c>
      <c r="S277" s="255">
        <f t="shared" si="15"/>
        <v>0.54166666666666663</v>
      </c>
    </row>
    <row r="278" spans="1:19" ht="19.7" customHeight="1">
      <c r="A278" s="278" t="s">
        <v>852</v>
      </c>
      <c r="B278" s="590" t="s">
        <v>853</v>
      </c>
      <c r="C278" s="589"/>
      <c r="D278" s="589"/>
      <c r="E278" s="589"/>
      <c r="F278" s="589"/>
      <c r="G278" s="591"/>
      <c r="H278" s="267" t="s">
        <v>838</v>
      </c>
      <c r="I278" s="268" t="s">
        <v>3</v>
      </c>
      <c r="J278" s="251">
        <v>41368</v>
      </c>
      <c r="K278" s="279">
        <v>279.10000000000002</v>
      </c>
      <c r="L278" s="590" t="s">
        <v>363</v>
      </c>
      <c r="M278" s="589"/>
      <c r="N278" s="589"/>
      <c r="O278" s="589"/>
      <c r="P278" s="591"/>
      <c r="R278" s="254">
        <f t="shared" si="14"/>
        <v>321.93409722222225</v>
      </c>
      <c r="S278" s="255">
        <f t="shared" si="15"/>
        <v>0.61388888888888893</v>
      </c>
    </row>
    <row r="279" spans="1:19" ht="19.7" customHeight="1">
      <c r="A279" s="278" t="s">
        <v>854</v>
      </c>
      <c r="B279" s="590" t="s">
        <v>855</v>
      </c>
      <c r="C279" s="589"/>
      <c r="D279" s="589"/>
      <c r="E279" s="589"/>
      <c r="F279" s="589"/>
      <c r="G279" s="591"/>
      <c r="H279" s="267" t="s">
        <v>838</v>
      </c>
      <c r="I279" s="268" t="s">
        <v>3</v>
      </c>
      <c r="J279" s="251">
        <v>41409</v>
      </c>
      <c r="K279" s="279">
        <v>49.24</v>
      </c>
      <c r="L279" s="590" t="s">
        <v>356</v>
      </c>
      <c r="M279" s="589"/>
      <c r="N279" s="589"/>
      <c r="O279" s="589"/>
      <c r="P279" s="591"/>
      <c r="R279" s="254">
        <f t="shared" si="14"/>
        <v>55.395000000000003</v>
      </c>
      <c r="S279" s="255">
        <f t="shared" si="15"/>
        <v>0.5</v>
      </c>
    </row>
    <row r="280" spans="1:19" ht="19.7" customHeight="1">
      <c r="A280" s="259"/>
      <c r="B280" s="593"/>
      <c r="C280" s="592"/>
      <c r="D280" s="592"/>
      <c r="E280" s="592"/>
      <c r="F280" s="592"/>
      <c r="G280" s="594"/>
      <c r="H280" s="287"/>
      <c r="I280" s="272"/>
      <c r="J280" s="273"/>
      <c r="K280" s="281"/>
      <c r="L280" s="593"/>
      <c r="M280" s="592"/>
      <c r="N280" s="592"/>
      <c r="O280" s="592"/>
      <c r="P280" s="594"/>
      <c r="R280" s="254" t="str">
        <f t="shared" si="14"/>
        <v/>
      </c>
      <c r="S280" s="255" t="str">
        <f t="shared" si="15"/>
        <v/>
      </c>
    </row>
    <row r="281" spans="1:19" ht="19.7" customHeight="1">
      <c r="A281" s="234" t="s">
        <v>856</v>
      </c>
      <c r="B281" s="235" t="s">
        <v>857</v>
      </c>
      <c r="C281" s="235"/>
      <c r="D281" s="235"/>
      <c r="E281" s="235"/>
      <c r="F281" s="235"/>
      <c r="G281" s="235"/>
      <c r="H281" s="236"/>
      <c r="I281" s="236"/>
      <c r="J281" s="237"/>
      <c r="K281" s="275"/>
      <c r="L281" s="239"/>
      <c r="M281" s="239"/>
      <c r="N281" s="239"/>
      <c r="O281" s="239"/>
      <c r="P281" s="240"/>
      <c r="R281" s="254" t="str">
        <f t="shared" si="14"/>
        <v/>
      </c>
      <c r="S281" s="255" t="str">
        <f t="shared" si="15"/>
        <v/>
      </c>
    </row>
    <row r="282" spans="1:19" ht="19.7" customHeight="1">
      <c r="A282" s="276" t="s">
        <v>856</v>
      </c>
      <c r="B282" s="587" t="s">
        <v>858</v>
      </c>
      <c r="C282" s="586"/>
      <c r="D282" s="586"/>
      <c r="E282" s="586"/>
      <c r="F282" s="586"/>
      <c r="G282" s="586"/>
      <c r="H282" s="264"/>
      <c r="I282" s="265" t="s">
        <v>3</v>
      </c>
      <c r="J282" s="243">
        <v>41334</v>
      </c>
      <c r="K282" s="266">
        <v>117.48</v>
      </c>
      <c r="L282" s="587" t="s">
        <v>356</v>
      </c>
      <c r="M282" s="586"/>
      <c r="N282" s="586"/>
      <c r="O282" s="586"/>
      <c r="P282" s="588"/>
      <c r="R282" s="254">
        <f t="shared" si="14"/>
        <v>138.20216666666667</v>
      </c>
      <c r="S282" s="255">
        <f t="shared" si="15"/>
        <v>0.7055555555555556</v>
      </c>
    </row>
    <row r="283" spans="1:19" ht="19.7" customHeight="1">
      <c r="A283" s="278" t="s">
        <v>859</v>
      </c>
      <c r="B283" s="590" t="s">
        <v>860</v>
      </c>
      <c r="C283" s="589"/>
      <c r="D283" s="589"/>
      <c r="E283" s="589"/>
      <c r="F283" s="589"/>
      <c r="G283" s="589"/>
      <c r="H283" s="267"/>
      <c r="I283" s="268" t="s">
        <v>3</v>
      </c>
      <c r="J283" s="251">
        <v>41334</v>
      </c>
      <c r="K283" s="269">
        <v>147.52000000000001</v>
      </c>
      <c r="L283" s="590" t="s">
        <v>356</v>
      </c>
      <c r="M283" s="589"/>
      <c r="N283" s="589"/>
      <c r="O283" s="589"/>
      <c r="P283" s="591"/>
      <c r="R283" s="254">
        <f t="shared" si="14"/>
        <v>173.5408888888889</v>
      </c>
      <c r="S283" s="255">
        <f t="shared" si="15"/>
        <v>0.7055555555555556</v>
      </c>
    </row>
    <row r="284" spans="1:19" ht="19.7" customHeight="1">
      <c r="A284" s="278" t="s">
        <v>861</v>
      </c>
      <c r="B284" s="590" t="s">
        <v>862</v>
      </c>
      <c r="C284" s="589"/>
      <c r="D284" s="589"/>
      <c r="E284" s="589"/>
      <c r="F284" s="589"/>
      <c r="G284" s="589"/>
      <c r="H284" s="267"/>
      <c r="I284" s="268" t="s">
        <v>3</v>
      </c>
      <c r="J284" s="251">
        <v>41334</v>
      </c>
      <c r="K284" s="269">
        <v>219.05</v>
      </c>
      <c r="L284" s="590" t="s">
        <v>356</v>
      </c>
      <c r="M284" s="589"/>
      <c r="N284" s="589"/>
      <c r="O284" s="589"/>
      <c r="P284" s="591"/>
      <c r="R284" s="254">
        <f t="shared" si="14"/>
        <v>257.68798611111112</v>
      </c>
      <c r="S284" s="255">
        <f t="shared" si="15"/>
        <v>0.7055555555555556</v>
      </c>
    </row>
    <row r="285" spans="1:19" ht="19.7" customHeight="1">
      <c r="A285" s="278" t="s">
        <v>863</v>
      </c>
      <c r="B285" s="590" t="s">
        <v>864</v>
      </c>
      <c r="C285" s="589"/>
      <c r="D285" s="589"/>
      <c r="E285" s="589"/>
      <c r="F285" s="589"/>
      <c r="G285" s="589"/>
      <c r="H285" s="267"/>
      <c r="I285" s="268" t="s">
        <v>3</v>
      </c>
      <c r="J285" s="251">
        <v>41334</v>
      </c>
      <c r="K285" s="269">
        <v>316.83</v>
      </c>
      <c r="L285" s="590" t="s">
        <v>356</v>
      </c>
      <c r="M285" s="589"/>
      <c r="N285" s="589"/>
      <c r="O285" s="589"/>
      <c r="P285" s="591"/>
      <c r="R285" s="254">
        <f t="shared" si="14"/>
        <v>372.71529166666664</v>
      </c>
      <c r="S285" s="255">
        <f t="shared" si="15"/>
        <v>0.7055555555555556</v>
      </c>
    </row>
    <row r="286" spans="1:19" ht="19.7" customHeight="1">
      <c r="A286" s="278" t="s">
        <v>865</v>
      </c>
      <c r="B286" s="590" t="s">
        <v>866</v>
      </c>
      <c r="C286" s="589"/>
      <c r="D286" s="589"/>
      <c r="E286" s="589"/>
      <c r="F286" s="589"/>
      <c r="G286" s="589"/>
      <c r="H286" s="267"/>
      <c r="I286" s="268" t="s">
        <v>3</v>
      </c>
      <c r="J286" s="251">
        <v>41334</v>
      </c>
      <c r="K286" s="269">
        <v>443.9</v>
      </c>
      <c r="L286" s="590" t="s">
        <v>356</v>
      </c>
      <c r="M286" s="589"/>
      <c r="N286" s="589"/>
      <c r="O286" s="589"/>
      <c r="P286" s="591"/>
      <c r="R286" s="254">
        <f t="shared" si="14"/>
        <v>522.19902777777781</v>
      </c>
      <c r="S286" s="255">
        <f t="shared" si="15"/>
        <v>0.7055555555555556</v>
      </c>
    </row>
    <row r="287" spans="1:19" ht="19.7" customHeight="1">
      <c r="A287" s="278" t="s">
        <v>867</v>
      </c>
      <c r="B287" s="590" t="s">
        <v>868</v>
      </c>
      <c r="C287" s="589"/>
      <c r="D287" s="589"/>
      <c r="E287" s="589"/>
      <c r="F287" s="589"/>
      <c r="G287" s="589"/>
      <c r="H287" s="267"/>
      <c r="I287" s="268" t="s">
        <v>12</v>
      </c>
      <c r="J287" s="251">
        <v>41513</v>
      </c>
      <c r="K287" s="269">
        <f>0.65*T1</f>
        <v>3.8350000000000004</v>
      </c>
      <c r="L287" s="590" t="s">
        <v>869</v>
      </c>
      <c r="M287" s="589"/>
      <c r="N287" s="589"/>
      <c r="O287" s="589"/>
      <c r="P287" s="591"/>
      <c r="R287" s="254">
        <f t="shared" si="14"/>
        <v>4.0427291666666676</v>
      </c>
      <c r="S287" s="255">
        <f t="shared" si="15"/>
        <v>0.21666666666666667</v>
      </c>
    </row>
    <row r="288" spans="1:19" ht="19.7" customHeight="1">
      <c r="A288" s="278" t="s">
        <v>870</v>
      </c>
      <c r="B288" s="590" t="s">
        <v>871</v>
      </c>
      <c r="C288" s="589"/>
      <c r="D288" s="589"/>
      <c r="E288" s="589"/>
      <c r="F288" s="589"/>
      <c r="G288" s="589"/>
      <c r="H288" s="267"/>
      <c r="I288" s="268" t="s">
        <v>12</v>
      </c>
      <c r="J288" s="251">
        <v>41513</v>
      </c>
      <c r="K288" s="269">
        <f>4.14*T1</f>
        <v>24.425999999999998</v>
      </c>
      <c r="L288" s="590" t="s">
        <v>869</v>
      </c>
      <c r="M288" s="589"/>
      <c r="N288" s="589"/>
      <c r="O288" s="589"/>
      <c r="P288" s="591"/>
      <c r="R288" s="254">
        <f t="shared" si="14"/>
        <v>25.749074999999998</v>
      </c>
      <c r="S288" s="255">
        <f t="shared" si="15"/>
        <v>0.21666666666666667</v>
      </c>
    </row>
    <row r="289" spans="1:19" ht="19.7" customHeight="1">
      <c r="A289" s="278" t="s">
        <v>872</v>
      </c>
      <c r="B289" s="590" t="s">
        <v>873</v>
      </c>
      <c r="C289" s="589"/>
      <c r="D289" s="589"/>
      <c r="E289" s="589"/>
      <c r="F289" s="589"/>
      <c r="G289" s="589"/>
      <c r="H289" s="267"/>
      <c r="I289" s="268" t="s">
        <v>12</v>
      </c>
      <c r="J289" s="251">
        <v>41513</v>
      </c>
      <c r="K289" s="269">
        <f>8.36*T1</f>
        <v>49.323999999999998</v>
      </c>
      <c r="L289" s="590" t="s">
        <v>869</v>
      </c>
      <c r="M289" s="589"/>
      <c r="N289" s="589"/>
      <c r="O289" s="589"/>
      <c r="P289" s="591"/>
      <c r="R289" s="254">
        <f t="shared" si="14"/>
        <v>51.995716666666667</v>
      </c>
      <c r="S289" s="255">
        <f t="shared" si="15"/>
        <v>0.21666666666666667</v>
      </c>
    </row>
    <row r="290" spans="1:19" ht="19.7" customHeight="1">
      <c r="A290" s="278" t="s">
        <v>874</v>
      </c>
      <c r="B290" s="590" t="s">
        <v>875</v>
      </c>
      <c r="C290" s="589"/>
      <c r="D290" s="589"/>
      <c r="E290" s="589"/>
      <c r="F290" s="589"/>
      <c r="G290" s="589"/>
      <c r="H290" s="267"/>
      <c r="I290" s="268" t="s">
        <v>3</v>
      </c>
      <c r="J290" s="251">
        <v>41394</v>
      </c>
      <c r="K290" s="269">
        <v>36.36</v>
      </c>
      <c r="L290" s="590" t="s">
        <v>363</v>
      </c>
      <c r="M290" s="589"/>
      <c r="N290" s="589"/>
      <c r="O290" s="589"/>
      <c r="P290" s="591"/>
      <c r="R290" s="254">
        <f t="shared" si="14"/>
        <v>41.283750000000005</v>
      </c>
      <c r="S290" s="255">
        <f t="shared" si="15"/>
        <v>0.54166666666666663</v>
      </c>
    </row>
    <row r="291" spans="1:19" ht="19.7" customHeight="1">
      <c r="A291" s="278" t="s">
        <v>876</v>
      </c>
      <c r="B291" s="590" t="s">
        <v>877</v>
      </c>
      <c r="C291" s="589"/>
      <c r="D291" s="589"/>
      <c r="E291" s="589"/>
      <c r="F291" s="589"/>
      <c r="G291" s="589"/>
      <c r="H291" s="267"/>
      <c r="I291" s="268" t="s">
        <v>3</v>
      </c>
      <c r="J291" s="251">
        <v>41383</v>
      </c>
      <c r="K291" s="269">
        <v>18.84</v>
      </c>
      <c r="L291" s="590" t="s">
        <v>363</v>
      </c>
      <c r="M291" s="589"/>
      <c r="N291" s="589"/>
      <c r="O291" s="589"/>
      <c r="P291" s="591"/>
      <c r="R291" s="254">
        <f t="shared" si="14"/>
        <v>21.535166666666665</v>
      </c>
      <c r="S291" s="255">
        <f t="shared" si="15"/>
        <v>0.57222222222222219</v>
      </c>
    </row>
    <row r="292" spans="1:19" ht="19.7" customHeight="1">
      <c r="A292" s="278" t="s">
        <v>878</v>
      </c>
      <c r="B292" s="590" t="s">
        <v>879</v>
      </c>
      <c r="C292" s="589"/>
      <c r="D292" s="589"/>
      <c r="E292" s="589"/>
      <c r="F292" s="589"/>
      <c r="G292" s="589"/>
      <c r="H292" s="267"/>
      <c r="I292" s="268" t="s">
        <v>3</v>
      </c>
      <c r="J292" s="251">
        <v>41383</v>
      </c>
      <c r="K292" s="269">
        <v>6.94</v>
      </c>
      <c r="L292" s="590" t="s">
        <v>363</v>
      </c>
      <c r="M292" s="589"/>
      <c r="N292" s="589"/>
      <c r="O292" s="589"/>
      <c r="P292" s="591"/>
      <c r="R292" s="254">
        <f t="shared" si="14"/>
        <v>7.9328055555555554</v>
      </c>
      <c r="S292" s="255">
        <f t="shared" si="15"/>
        <v>0.57222222222222219</v>
      </c>
    </row>
    <row r="293" spans="1:19" ht="19.7" customHeight="1">
      <c r="A293" s="278" t="s">
        <v>880</v>
      </c>
      <c r="B293" s="590" t="s">
        <v>881</v>
      </c>
      <c r="C293" s="589"/>
      <c r="D293" s="589"/>
      <c r="E293" s="589"/>
      <c r="F293" s="589"/>
      <c r="G293" s="589"/>
      <c r="H293" s="267"/>
      <c r="I293" s="268" t="s">
        <v>3</v>
      </c>
      <c r="J293" s="251">
        <v>41383</v>
      </c>
      <c r="K293" s="269">
        <v>25.53</v>
      </c>
      <c r="L293" s="590" t="s">
        <v>363</v>
      </c>
      <c r="M293" s="589"/>
      <c r="N293" s="589"/>
      <c r="O293" s="589"/>
      <c r="P293" s="591"/>
      <c r="R293" s="254">
        <f t="shared" si="14"/>
        <v>29.182208333333332</v>
      </c>
      <c r="S293" s="255">
        <f t="shared" si="15"/>
        <v>0.57222222222222219</v>
      </c>
    </row>
    <row r="294" spans="1:19" ht="19.7" customHeight="1">
      <c r="A294" s="278" t="s">
        <v>882</v>
      </c>
      <c r="B294" s="590" t="s">
        <v>883</v>
      </c>
      <c r="C294" s="589"/>
      <c r="D294" s="589"/>
      <c r="E294" s="589"/>
      <c r="F294" s="589"/>
      <c r="G294" s="589"/>
      <c r="H294" s="267"/>
      <c r="I294" s="268" t="s">
        <v>3</v>
      </c>
      <c r="J294" s="251">
        <v>41383</v>
      </c>
      <c r="K294" s="269">
        <v>5.78</v>
      </c>
      <c r="L294" s="590" t="s">
        <v>363</v>
      </c>
      <c r="M294" s="589"/>
      <c r="N294" s="589"/>
      <c r="O294" s="589"/>
      <c r="P294" s="591"/>
      <c r="R294" s="254">
        <f t="shared" si="14"/>
        <v>6.6068611111111109</v>
      </c>
      <c r="S294" s="255">
        <f t="shared" si="15"/>
        <v>0.57222222222222219</v>
      </c>
    </row>
    <row r="295" spans="1:19" ht="19.7" customHeight="1">
      <c r="A295" s="278" t="s">
        <v>884</v>
      </c>
      <c r="B295" s="590" t="s">
        <v>885</v>
      </c>
      <c r="C295" s="589"/>
      <c r="D295" s="589"/>
      <c r="E295" s="589"/>
      <c r="F295" s="589"/>
      <c r="G295" s="589"/>
      <c r="H295" s="267"/>
      <c r="I295" s="268" t="s">
        <v>3</v>
      </c>
      <c r="J295" s="251">
        <v>41409</v>
      </c>
      <c r="K295" s="269">
        <v>83.3</v>
      </c>
      <c r="L295" s="590" t="s">
        <v>356</v>
      </c>
      <c r="M295" s="589"/>
      <c r="N295" s="589"/>
      <c r="O295" s="589"/>
      <c r="P295" s="591"/>
      <c r="R295" s="254">
        <f t="shared" si="14"/>
        <v>93.712499999999991</v>
      </c>
      <c r="S295" s="255">
        <f t="shared" si="15"/>
        <v>0.5</v>
      </c>
    </row>
    <row r="296" spans="1:19" ht="19.7" customHeight="1">
      <c r="A296" s="278" t="s">
        <v>886</v>
      </c>
      <c r="B296" s="590" t="s">
        <v>887</v>
      </c>
      <c r="C296" s="589"/>
      <c r="D296" s="589"/>
      <c r="E296" s="589"/>
      <c r="F296" s="589"/>
      <c r="G296" s="589"/>
      <c r="H296" s="267"/>
      <c r="I296" s="268" t="s">
        <v>3</v>
      </c>
      <c r="J296" s="251">
        <v>41513</v>
      </c>
      <c r="K296" s="269">
        <f>3.53*T1</f>
        <v>20.827000000000002</v>
      </c>
      <c r="L296" s="590" t="s">
        <v>869</v>
      </c>
      <c r="M296" s="589"/>
      <c r="N296" s="589"/>
      <c r="O296" s="589"/>
      <c r="P296" s="591"/>
      <c r="R296" s="254">
        <f t="shared" si="14"/>
        <v>21.955129166666669</v>
      </c>
      <c r="S296" s="255">
        <f t="shared" si="15"/>
        <v>0.21666666666666667</v>
      </c>
    </row>
    <row r="297" spans="1:19" ht="19.7" customHeight="1">
      <c r="A297" s="278" t="s">
        <v>888</v>
      </c>
      <c r="B297" s="590" t="s">
        <v>889</v>
      </c>
      <c r="C297" s="589"/>
      <c r="D297" s="589"/>
      <c r="E297" s="589"/>
      <c r="F297" s="589"/>
      <c r="G297" s="589"/>
      <c r="H297" s="267"/>
      <c r="I297" s="268" t="s">
        <v>3</v>
      </c>
      <c r="J297" s="251">
        <v>41513</v>
      </c>
      <c r="K297" s="269">
        <f>6.82*T1</f>
        <v>40.238000000000007</v>
      </c>
      <c r="L297" s="590" t="s">
        <v>869</v>
      </c>
      <c r="M297" s="589"/>
      <c r="N297" s="589"/>
      <c r="O297" s="589"/>
      <c r="P297" s="591"/>
      <c r="R297" s="254">
        <f t="shared" si="14"/>
        <v>42.417558333333339</v>
      </c>
      <c r="S297" s="255">
        <f t="shared" si="15"/>
        <v>0.21666666666666667</v>
      </c>
    </row>
    <row r="298" spans="1:19" ht="19.7" customHeight="1">
      <c r="A298" s="278" t="s">
        <v>890</v>
      </c>
      <c r="B298" s="590" t="s">
        <v>891</v>
      </c>
      <c r="C298" s="589"/>
      <c r="D298" s="589"/>
      <c r="E298" s="589"/>
      <c r="F298" s="589"/>
      <c r="G298" s="589"/>
      <c r="H298" s="267"/>
      <c r="I298" s="268" t="s">
        <v>3</v>
      </c>
      <c r="J298" s="251">
        <v>41513</v>
      </c>
      <c r="K298" s="269">
        <f>11.14*T1</f>
        <v>65.726000000000013</v>
      </c>
      <c r="L298" s="590" t="s">
        <v>869</v>
      </c>
      <c r="M298" s="589"/>
      <c r="N298" s="589"/>
      <c r="O298" s="589"/>
      <c r="P298" s="591"/>
      <c r="R298" s="254">
        <f t="shared" si="14"/>
        <v>69.286158333333347</v>
      </c>
      <c r="S298" s="255">
        <f t="shared" si="15"/>
        <v>0.21666666666666667</v>
      </c>
    </row>
    <row r="299" spans="1:19" ht="19.7" customHeight="1">
      <c r="A299" s="278" t="s">
        <v>892</v>
      </c>
      <c r="B299" s="590" t="s">
        <v>893</v>
      </c>
      <c r="C299" s="589"/>
      <c r="D299" s="589"/>
      <c r="E299" s="589"/>
      <c r="F299" s="589"/>
      <c r="G299" s="589"/>
      <c r="H299" s="267"/>
      <c r="I299" s="268" t="s">
        <v>3</v>
      </c>
      <c r="J299" s="251">
        <v>41513</v>
      </c>
      <c r="K299" s="269">
        <f>23.61*T1</f>
        <v>139.29900000000001</v>
      </c>
      <c r="L299" s="590" t="s">
        <v>869</v>
      </c>
      <c r="M299" s="589"/>
      <c r="N299" s="589"/>
      <c r="O299" s="589"/>
      <c r="P299" s="591"/>
      <c r="R299" s="254">
        <f t="shared" si="14"/>
        <v>146.84436250000002</v>
      </c>
      <c r="S299" s="255">
        <f t="shared" si="15"/>
        <v>0.21666666666666667</v>
      </c>
    </row>
    <row r="300" spans="1:19" ht="19.7" customHeight="1">
      <c r="A300" s="278" t="s">
        <v>894</v>
      </c>
      <c r="B300" s="590" t="s">
        <v>895</v>
      </c>
      <c r="C300" s="589"/>
      <c r="D300" s="589"/>
      <c r="E300" s="589"/>
      <c r="F300" s="589"/>
      <c r="G300" s="589"/>
      <c r="H300" s="267"/>
      <c r="I300" s="268" t="s">
        <v>3</v>
      </c>
      <c r="J300" s="251">
        <v>41513</v>
      </c>
      <c r="K300" s="269">
        <f>19.44*T1</f>
        <v>114.69600000000001</v>
      </c>
      <c r="L300" s="590" t="s">
        <v>869</v>
      </c>
      <c r="M300" s="589"/>
      <c r="N300" s="589"/>
      <c r="O300" s="589"/>
      <c r="P300" s="591"/>
      <c r="R300" s="254">
        <f t="shared" si="14"/>
        <v>120.90870000000001</v>
      </c>
      <c r="S300" s="255">
        <f t="shared" si="15"/>
        <v>0.21666666666666667</v>
      </c>
    </row>
    <row r="301" spans="1:19" ht="19.7" customHeight="1">
      <c r="A301" s="278" t="s">
        <v>896</v>
      </c>
      <c r="B301" s="590" t="s">
        <v>897</v>
      </c>
      <c r="C301" s="589"/>
      <c r="D301" s="589"/>
      <c r="E301" s="589"/>
      <c r="F301" s="589"/>
      <c r="G301" s="589"/>
      <c r="H301" s="267"/>
      <c r="I301" s="268" t="s">
        <v>3</v>
      </c>
      <c r="J301" s="251">
        <v>41513</v>
      </c>
      <c r="K301" s="269">
        <f>34.32*T1</f>
        <v>202.48800000000003</v>
      </c>
      <c r="L301" s="590" t="s">
        <v>869</v>
      </c>
      <c r="M301" s="589"/>
      <c r="N301" s="589"/>
      <c r="O301" s="589"/>
      <c r="P301" s="591"/>
      <c r="R301" s="254">
        <f t="shared" si="14"/>
        <v>213.45610000000005</v>
      </c>
      <c r="S301" s="255">
        <f t="shared" si="15"/>
        <v>0.21666666666666667</v>
      </c>
    </row>
    <row r="302" spans="1:19" ht="19.7" customHeight="1">
      <c r="A302" s="278" t="s">
        <v>898</v>
      </c>
      <c r="B302" s="590" t="s">
        <v>899</v>
      </c>
      <c r="C302" s="589"/>
      <c r="D302" s="589"/>
      <c r="E302" s="589"/>
      <c r="F302" s="589"/>
      <c r="G302" s="589"/>
      <c r="H302" s="267"/>
      <c r="I302" s="268" t="s">
        <v>3</v>
      </c>
      <c r="J302" s="251">
        <v>41513</v>
      </c>
      <c r="K302" s="269">
        <f>12.03*T1</f>
        <v>70.977000000000004</v>
      </c>
      <c r="L302" s="590" t="s">
        <v>869</v>
      </c>
      <c r="M302" s="589"/>
      <c r="N302" s="589"/>
      <c r="O302" s="589"/>
      <c r="P302" s="591"/>
      <c r="R302" s="254">
        <f t="shared" si="14"/>
        <v>74.821587500000007</v>
      </c>
      <c r="S302" s="255">
        <f t="shared" si="15"/>
        <v>0.21666666666666667</v>
      </c>
    </row>
    <row r="303" spans="1:19" ht="19.7" customHeight="1">
      <c r="A303" s="278" t="s">
        <v>900</v>
      </c>
      <c r="B303" s="590" t="s">
        <v>901</v>
      </c>
      <c r="C303" s="589"/>
      <c r="D303" s="589"/>
      <c r="E303" s="589"/>
      <c r="F303" s="589"/>
      <c r="G303" s="589"/>
      <c r="H303" s="267"/>
      <c r="I303" s="268" t="s">
        <v>3</v>
      </c>
      <c r="J303" s="251">
        <v>41513</v>
      </c>
      <c r="K303" s="269">
        <f>20.01*T1</f>
        <v>118.05900000000001</v>
      </c>
      <c r="L303" s="590" t="s">
        <v>869</v>
      </c>
      <c r="M303" s="589"/>
      <c r="N303" s="589"/>
      <c r="O303" s="589"/>
      <c r="P303" s="591"/>
      <c r="R303" s="254">
        <f t="shared" si="14"/>
        <v>124.45386250000001</v>
      </c>
      <c r="S303" s="255">
        <f t="shared" si="15"/>
        <v>0.21666666666666667</v>
      </c>
    </row>
    <row r="304" spans="1:19" ht="19.7" customHeight="1">
      <c r="A304" s="278" t="s">
        <v>902</v>
      </c>
      <c r="B304" s="590" t="s">
        <v>903</v>
      </c>
      <c r="C304" s="589"/>
      <c r="D304" s="589"/>
      <c r="E304" s="589"/>
      <c r="F304" s="589"/>
      <c r="G304" s="589"/>
      <c r="H304" s="267"/>
      <c r="I304" s="268" t="s">
        <v>3</v>
      </c>
      <c r="J304" s="251">
        <v>41513</v>
      </c>
      <c r="K304" s="269">
        <f>12.31*T1:T1</f>
        <v>72.629000000000005</v>
      </c>
      <c r="L304" s="590" t="s">
        <v>869</v>
      </c>
      <c r="M304" s="589"/>
      <c r="N304" s="589"/>
      <c r="O304" s="589"/>
      <c r="P304" s="591"/>
      <c r="R304" s="254">
        <f t="shared" si="14"/>
        <v>76.563070833333342</v>
      </c>
      <c r="S304" s="255">
        <f t="shared" si="15"/>
        <v>0.21666666666666667</v>
      </c>
    </row>
    <row r="305" spans="1:19" ht="19.7" customHeight="1">
      <c r="A305" s="278" t="s">
        <v>904</v>
      </c>
      <c r="B305" s="590" t="s">
        <v>905</v>
      </c>
      <c r="C305" s="589"/>
      <c r="D305" s="589"/>
      <c r="E305" s="589"/>
      <c r="F305" s="589"/>
      <c r="G305" s="589"/>
      <c r="H305" s="267"/>
      <c r="I305" s="268" t="s">
        <v>3</v>
      </c>
      <c r="J305" s="251">
        <v>41513</v>
      </c>
      <c r="K305" s="269">
        <f>13.81*T1</f>
        <v>81.479000000000013</v>
      </c>
      <c r="L305" s="590" t="s">
        <v>869</v>
      </c>
      <c r="M305" s="589"/>
      <c r="N305" s="589"/>
      <c r="O305" s="589"/>
      <c r="P305" s="591"/>
      <c r="R305" s="254">
        <f t="shared" si="14"/>
        <v>85.892445833333355</v>
      </c>
      <c r="S305" s="255">
        <f t="shared" si="15"/>
        <v>0.21666666666666667</v>
      </c>
    </row>
    <row r="306" spans="1:19" ht="19.7" customHeight="1">
      <c r="A306" s="278" t="s">
        <v>906</v>
      </c>
      <c r="B306" s="590" t="s">
        <v>907</v>
      </c>
      <c r="C306" s="589"/>
      <c r="D306" s="589"/>
      <c r="E306" s="589"/>
      <c r="F306" s="589"/>
      <c r="G306" s="589"/>
      <c r="H306" s="267"/>
      <c r="I306" s="268" t="s">
        <v>3</v>
      </c>
      <c r="J306" s="251">
        <v>41513</v>
      </c>
      <c r="K306" s="269">
        <f>19.91*T1</f>
        <v>117.46900000000001</v>
      </c>
      <c r="L306" s="590" t="s">
        <v>869</v>
      </c>
      <c r="M306" s="589"/>
      <c r="N306" s="589"/>
      <c r="O306" s="589"/>
      <c r="P306" s="591"/>
      <c r="R306" s="254">
        <f t="shared" si="14"/>
        <v>123.83190416666667</v>
      </c>
      <c r="S306" s="255">
        <f t="shared" si="15"/>
        <v>0.21666666666666667</v>
      </c>
    </row>
    <row r="307" spans="1:19" ht="19.7" customHeight="1">
      <c r="A307" s="278" t="s">
        <v>908</v>
      </c>
      <c r="B307" s="590" t="s">
        <v>907</v>
      </c>
      <c r="C307" s="589"/>
      <c r="D307" s="589"/>
      <c r="E307" s="589"/>
      <c r="F307" s="589"/>
      <c r="G307" s="589"/>
      <c r="H307" s="267"/>
      <c r="I307" s="268" t="s">
        <v>3</v>
      </c>
      <c r="J307" s="251">
        <v>41513</v>
      </c>
      <c r="K307" s="269">
        <f>31*T1</f>
        <v>182.9</v>
      </c>
      <c r="L307" s="590" t="s">
        <v>869</v>
      </c>
      <c r="M307" s="589"/>
      <c r="N307" s="589"/>
      <c r="O307" s="589"/>
      <c r="P307" s="591"/>
      <c r="R307" s="254">
        <f t="shared" si="14"/>
        <v>192.80708333333334</v>
      </c>
      <c r="S307" s="255">
        <f t="shared" si="15"/>
        <v>0.21666666666666667</v>
      </c>
    </row>
    <row r="308" spans="1:19" ht="19.7" customHeight="1">
      <c r="A308" s="278" t="s">
        <v>909</v>
      </c>
      <c r="B308" s="590" t="s">
        <v>910</v>
      </c>
      <c r="C308" s="589"/>
      <c r="D308" s="589"/>
      <c r="E308" s="589"/>
      <c r="F308" s="589"/>
      <c r="G308" s="589"/>
      <c r="H308" s="267"/>
      <c r="I308" s="268" t="s">
        <v>3</v>
      </c>
      <c r="J308" s="251">
        <v>41513</v>
      </c>
      <c r="K308" s="269">
        <f>31.4*T1</f>
        <v>185.26</v>
      </c>
      <c r="L308" s="590" t="s">
        <v>869</v>
      </c>
      <c r="M308" s="589"/>
      <c r="N308" s="589"/>
      <c r="O308" s="589"/>
      <c r="P308" s="591"/>
      <c r="R308" s="254">
        <f t="shared" si="14"/>
        <v>195.29491666666667</v>
      </c>
      <c r="S308" s="255">
        <f t="shared" si="15"/>
        <v>0.21666666666666667</v>
      </c>
    </row>
    <row r="309" spans="1:19" ht="19.7" customHeight="1">
      <c r="A309" s="278" t="s">
        <v>911</v>
      </c>
      <c r="B309" s="590" t="s">
        <v>912</v>
      </c>
      <c r="C309" s="589"/>
      <c r="D309" s="589"/>
      <c r="E309" s="589"/>
      <c r="F309" s="589"/>
      <c r="G309" s="589"/>
      <c r="H309" s="267" t="s">
        <v>913</v>
      </c>
      <c r="I309" s="268" t="s">
        <v>3</v>
      </c>
      <c r="J309" s="251">
        <v>41409</v>
      </c>
      <c r="K309" s="269">
        <v>84.7</v>
      </c>
      <c r="L309" s="590" t="s">
        <v>356</v>
      </c>
      <c r="M309" s="589"/>
      <c r="N309" s="589"/>
      <c r="O309" s="589"/>
      <c r="P309" s="591"/>
      <c r="R309" s="254">
        <f t="shared" si="14"/>
        <v>95.287500000000009</v>
      </c>
      <c r="S309" s="255">
        <f t="shared" si="15"/>
        <v>0.5</v>
      </c>
    </row>
    <row r="310" spans="1:19" ht="19.7" customHeight="1">
      <c r="A310" s="278" t="s">
        <v>914</v>
      </c>
      <c r="B310" s="590" t="s">
        <v>915</v>
      </c>
      <c r="C310" s="589"/>
      <c r="D310" s="589"/>
      <c r="E310" s="589"/>
      <c r="F310" s="589"/>
      <c r="G310" s="589"/>
      <c r="H310" s="267"/>
      <c r="I310" s="268" t="s">
        <v>3</v>
      </c>
      <c r="J310" s="251">
        <v>41409</v>
      </c>
      <c r="K310" s="269">
        <v>158.12</v>
      </c>
      <c r="L310" s="590" t="s">
        <v>356</v>
      </c>
      <c r="M310" s="589"/>
      <c r="N310" s="589"/>
      <c r="O310" s="589"/>
      <c r="P310" s="591"/>
      <c r="R310" s="254">
        <f t="shared" si="14"/>
        <v>177.88499999999999</v>
      </c>
      <c r="S310" s="255">
        <f t="shared" si="15"/>
        <v>0.5</v>
      </c>
    </row>
    <row r="311" spans="1:19" ht="19.7" customHeight="1">
      <c r="A311" s="278" t="s">
        <v>916</v>
      </c>
      <c r="B311" s="590" t="s">
        <v>917</v>
      </c>
      <c r="C311" s="589"/>
      <c r="D311" s="589"/>
      <c r="E311" s="589"/>
      <c r="F311" s="589"/>
      <c r="G311" s="589"/>
      <c r="H311" s="267"/>
      <c r="I311" s="268" t="s">
        <v>3</v>
      </c>
      <c r="J311" s="251">
        <v>41394</v>
      </c>
      <c r="K311" s="269">
        <v>189.75</v>
      </c>
      <c r="L311" s="590" t="s">
        <v>363</v>
      </c>
      <c r="M311" s="589"/>
      <c r="N311" s="589"/>
      <c r="O311" s="589"/>
      <c r="P311" s="591"/>
      <c r="R311" s="254">
        <f t="shared" si="14"/>
        <v>215.4453125</v>
      </c>
      <c r="S311" s="255">
        <f t="shared" si="15"/>
        <v>0.54166666666666663</v>
      </c>
    </row>
    <row r="312" spans="1:19" ht="19.7" customHeight="1">
      <c r="A312" s="278" t="s">
        <v>918</v>
      </c>
      <c r="B312" s="590" t="s">
        <v>919</v>
      </c>
      <c r="C312" s="589"/>
      <c r="D312" s="589"/>
      <c r="E312" s="589"/>
      <c r="F312" s="589"/>
      <c r="G312" s="589"/>
      <c r="H312" s="267"/>
      <c r="I312" s="268" t="s">
        <v>3</v>
      </c>
      <c r="J312" s="251">
        <v>41400</v>
      </c>
      <c r="K312" s="269">
        <v>1325</v>
      </c>
      <c r="L312" s="590" t="s">
        <v>920</v>
      </c>
      <c r="M312" s="589"/>
      <c r="N312" s="589"/>
      <c r="O312" s="589"/>
      <c r="P312" s="591"/>
      <c r="R312" s="254">
        <f t="shared" si="14"/>
        <v>1498.9062500000002</v>
      </c>
      <c r="S312" s="255">
        <f t="shared" si="15"/>
        <v>0.52500000000000002</v>
      </c>
    </row>
    <row r="313" spans="1:19" ht="19.7" customHeight="1">
      <c r="A313" s="278" t="s">
        <v>921</v>
      </c>
      <c r="B313" s="590" t="s">
        <v>922</v>
      </c>
      <c r="C313" s="589"/>
      <c r="D313" s="589"/>
      <c r="E313" s="589"/>
      <c r="F313" s="589"/>
      <c r="G313" s="589"/>
      <c r="H313" s="267" t="s">
        <v>923</v>
      </c>
      <c r="I313" s="268" t="s">
        <v>3</v>
      </c>
      <c r="J313" s="251">
        <v>41370</v>
      </c>
      <c r="K313" s="269">
        <v>1486</v>
      </c>
      <c r="L313" s="590" t="s">
        <v>363</v>
      </c>
      <c r="M313" s="589"/>
      <c r="N313" s="589"/>
      <c r="O313" s="589"/>
      <c r="P313" s="591"/>
      <c r="R313" s="254">
        <f t="shared" si="14"/>
        <v>1711.9958333333334</v>
      </c>
      <c r="S313" s="255">
        <f t="shared" si="15"/>
        <v>0.60833333333333328</v>
      </c>
    </row>
    <row r="314" spans="1:19" ht="19.7" customHeight="1">
      <c r="A314" s="278" t="s">
        <v>924</v>
      </c>
      <c r="B314" s="590" t="s">
        <v>925</v>
      </c>
      <c r="C314" s="589"/>
      <c r="D314" s="589"/>
      <c r="E314" s="589"/>
      <c r="F314" s="589"/>
      <c r="G314" s="589"/>
      <c r="H314" s="267"/>
      <c r="I314" s="268" t="s">
        <v>3</v>
      </c>
      <c r="J314" s="251">
        <v>41400</v>
      </c>
      <c r="K314" s="269">
        <v>139.65</v>
      </c>
      <c r="L314" s="590" t="s">
        <v>920</v>
      </c>
      <c r="M314" s="589"/>
      <c r="N314" s="589"/>
      <c r="O314" s="589"/>
      <c r="P314" s="591"/>
      <c r="R314" s="254">
        <f t="shared" si="14"/>
        <v>157.97906250000003</v>
      </c>
      <c r="S314" s="255">
        <f t="shared" si="15"/>
        <v>0.52500000000000002</v>
      </c>
    </row>
    <row r="315" spans="1:19" ht="19.7" customHeight="1">
      <c r="A315" s="278"/>
      <c r="B315" s="590"/>
      <c r="C315" s="589"/>
      <c r="D315" s="589"/>
      <c r="E315" s="589"/>
      <c r="F315" s="589"/>
      <c r="G315" s="589"/>
      <c r="H315" s="267"/>
      <c r="I315" s="268"/>
      <c r="J315" s="251"/>
      <c r="K315" s="269"/>
      <c r="L315" s="590"/>
      <c r="M315" s="589"/>
      <c r="N315" s="589"/>
      <c r="O315" s="589"/>
      <c r="P315" s="591"/>
      <c r="R315" s="254" t="str">
        <f t="shared" si="14"/>
        <v/>
      </c>
      <c r="S315" s="255" t="str">
        <f t="shared" si="15"/>
        <v/>
      </c>
    </row>
    <row r="316" spans="1:19" ht="19.7" customHeight="1">
      <c r="A316" s="259"/>
      <c r="B316" s="593"/>
      <c r="C316" s="592"/>
      <c r="D316" s="592"/>
      <c r="E316" s="592"/>
      <c r="F316" s="592"/>
      <c r="G316" s="592"/>
      <c r="H316" s="287"/>
      <c r="I316" s="272"/>
      <c r="J316" s="273"/>
      <c r="K316" s="274"/>
      <c r="L316" s="593"/>
      <c r="M316" s="592"/>
      <c r="N316" s="592"/>
      <c r="O316" s="592"/>
      <c r="P316" s="594"/>
      <c r="R316" s="254" t="str">
        <f t="shared" si="14"/>
        <v/>
      </c>
      <c r="S316" s="255" t="str">
        <f t="shared" si="15"/>
        <v/>
      </c>
    </row>
    <row r="317" spans="1:19" ht="19.7" customHeight="1">
      <c r="A317" s="234" t="s">
        <v>926</v>
      </c>
      <c r="B317" s="235" t="s">
        <v>927</v>
      </c>
      <c r="C317" s="235"/>
      <c r="D317" s="235"/>
      <c r="E317" s="235"/>
      <c r="F317" s="235"/>
      <c r="G317" s="235"/>
      <c r="H317" s="236"/>
      <c r="I317" s="229"/>
      <c r="J317" s="237"/>
      <c r="K317" s="275"/>
      <c r="L317" s="239"/>
      <c r="M317" s="239"/>
      <c r="N317" s="239"/>
      <c r="O317" s="239"/>
      <c r="P317" s="240"/>
      <c r="R317" s="254" t="str">
        <f t="shared" si="14"/>
        <v/>
      </c>
      <c r="S317" s="255" t="str">
        <f t="shared" si="15"/>
        <v/>
      </c>
    </row>
    <row r="318" spans="1:19" ht="19.7" customHeight="1">
      <c r="A318" s="278" t="s">
        <v>928</v>
      </c>
      <c r="B318" s="293" t="s">
        <v>929</v>
      </c>
      <c r="C318" s="291"/>
      <c r="D318" s="291"/>
      <c r="E318" s="291"/>
      <c r="F318" s="291"/>
      <c r="G318" s="291"/>
      <c r="H318" s="251"/>
      <c r="I318" s="268" t="s">
        <v>3</v>
      </c>
      <c r="J318" s="251">
        <v>41254</v>
      </c>
      <c r="K318" s="269">
        <v>648</v>
      </c>
      <c r="L318" s="293" t="s">
        <v>363</v>
      </c>
      <c r="M318" s="291"/>
      <c r="N318" s="291"/>
      <c r="O318" s="291"/>
      <c r="P318" s="292"/>
      <c r="R318" s="254">
        <f t="shared" si="14"/>
        <v>798.30000000000007</v>
      </c>
      <c r="S318" s="255">
        <f t="shared" si="15"/>
        <v>0.92777777777777781</v>
      </c>
    </row>
    <row r="319" spans="1:19" ht="19.7" customHeight="1">
      <c r="A319" s="278" t="s">
        <v>930</v>
      </c>
      <c r="B319" s="293" t="s">
        <v>931</v>
      </c>
      <c r="C319" s="291"/>
      <c r="D319" s="291"/>
      <c r="E319" s="291"/>
      <c r="F319" s="291"/>
      <c r="G319" s="291"/>
      <c r="H319" s="251"/>
      <c r="I319" s="268" t="s">
        <v>3</v>
      </c>
      <c r="J319" s="251">
        <v>41395</v>
      </c>
      <c r="K319" s="269">
        <v>1350</v>
      </c>
      <c r="L319" s="293" t="s">
        <v>356</v>
      </c>
      <c r="M319" s="291"/>
      <c r="N319" s="291"/>
      <c r="O319" s="291"/>
      <c r="P319" s="292"/>
      <c r="R319" s="254">
        <f t="shared" si="14"/>
        <v>1531.875</v>
      </c>
      <c r="S319" s="255">
        <f t="shared" si="15"/>
        <v>0.53888888888888886</v>
      </c>
    </row>
    <row r="320" spans="1:19" ht="19.7" customHeight="1">
      <c r="A320" s="278" t="s">
        <v>932</v>
      </c>
      <c r="B320" s="293" t="s">
        <v>933</v>
      </c>
      <c r="C320" s="291"/>
      <c r="D320" s="291"/>
      <c r="E320" s="291"/>
      <c r="F320" s="291"/>
      <c r="G320" s="291"/>
      <c r="H320" s="251" t="s">
        <v>934</v>
      </c>
      <c r="I320" s="268" t="s">
        <v>3</v>
      </c>
      <c r="J320" s="251">
        <v>41409</v>
      </c>
      <c r="K320" s="269">
        <v>1867</v>
      </c>
      <c r="L320" s="293"/>
      <c r="M320" s="291"/>
      <c r="N320" s="291"/>
      <c r="O320" s="291"/>
      <c r="P320" s="292"/>
      <c r="R320" s="254">
        <f t="shared" si="14"/>
        <v>2100.375</v>
      </c>
      <c r="S320" s="255">
        <f t="shared" si="15"/>
        <v>0.5</v>
      </c>
    </row>
    <row r="321" spans="1:19" ht="19.7" customHeight="1">
      <c r="A321" s="278" t="s">
        <v>935</v>
      </c>
      <c r="B321" s="590" t="s">
        <v>936</v>
      </c>
      <c r="C321" s="589"/>
      <c r="D321" s="589"/>
      <c r="E321" s="589"/>
      <c r="F321" s="589"/>
      <c r="G321" s="589"/>
      <c r="H321" s="251"/>
      <c r="I321" s="268" t="s">
        <v>3</v>
      </c>
      <c r="J321" s="251">
        <v>41488</v>
      </c>
      <c r="K321" s="269">
        <v>800</v>
      </c>
      <c r="L321" s="590" t="s">
        <v>382</v>
      </c>
      <c r="M321" s="589"/>
      <c r="N321" s="589"/>
      <c r="O321" s="589"/>
      <c r="P321" s="591"/>
      <c r="R321" s="254">
        <f t="shared" si="14"/>
        <v>857.22222222222229</v>
      </c>
      <c r="S321" s="255">
        <f t="shared" si="15"/>
        <v>0.28611111111111109</v>
      </c>
    </row>
    <row r="322" spans="1:19" ht="19.7" customHeight="1">
      <c r="A322" s="278" t="s">
        <v>937</v>
      </c>
      <c r="B322" s="590" t="s">
        <v>938</v>
      </c>
      <c r="C322" s="589"/>
      <c r="D322" s="589"/>
      <c r="E322" s="589"/>
      <c r="F322" s="589"/>
      <c r="G322" s="589"/>
      <c r="H322" s="251"/>
      <c r="I322" s="268" t="s">
        <v>3</v>
      </c>
      <c r="J322" s="251">
        <v>41488</v>
      </c>
      <c r="K322" s="269">
        <v>280</v>
      </c>
      <c r="L322" s="590" t="s">
        <v>382</v>
      </c>
      <c r="M322" s="589"/>
      <c r="N322" s="589"/>
      <c r="O322" s="589"/>
      <c r="P322" s="591"/>
      <c r="R322" s="254">
        <f t="shared" si="14"/>
        <v>300.02777777777783</v>
      </c>
      <c r="S322" s="255">
        <f t="shared" si="15"/>
        <v>0.28611111111111109</v>
      </c>
    </row>
    <row r="323" spans="1:19" ht="19.7" customHeight="1">
      <c r="A323" s="278" t="s">
        <v>939</v>
      </c>
      <c r="B323" s="590" t="s">
        <v>940</v>
      </c>
      <c r="C323" s="589"/>
      <c r="D323" s="589"/>
      <c r="E323" s="589"/>
      <c r="F323" s="589"/>
      <c r="G323" s="589"/>
      <c r="H323" s="251"/>
      <c r="I323" s="268" t="s">
        <v>3</v>
      </c>
      <c r="J323" s="251">
        <v>41488</v>
      </c>
      <c r="K323" s="269">
        <v>736</v>
      </c>
      <c r="L323" s="590" t="s">
        <v>382</v>
      </c>
      <c r="M323" s="589"/>
      <c r="N323" s="589"/>
      <c r="O323" s="589"/>
      <c r="P323" s="591"/>
      <c r="R323" s="254">
        <f t="shared" si="14"/>
        <v>788.6444444444445</v>
      </c>
      <c r="S323" s="255">
        <f t="shared" si="15"/>
        <v>0.28611111111111109</v>
      </c>
    </row>
    <row r="324" spans="1:19" ht="19.7" customHeight="1">
      <c r="A324" s="289"/>
      <c r="B324" s="290" t="s">
        <v>941</v>
      </c>
      <c r="C324" s="291"/>
      <c r="D324" s="291"/>
      <c r="E324" s="291"/>
      <c r="F324" s="291"/>
      <c r="G324" s="292"/>
      <c r="H324" s="251"/>
      <c r="I324" s="252"/>
      <c r="J324" s="251"/>
      <c r="K324" s="269"/>
      <c r="L324" s="293"/>
      <c r="M324" s="291"/>
      <c r="N324" s="291"/>
      <c r="O324" s="291"/>
      <c r="P324" s="292"/>
      <c r="R324" s="254" t="str">
        <f t="shared" si="14"/>
        <v/>
      </c>
      <c r="S324" s="255" t="str">
        <f t="shared" si="15"/>
        <v/>
      </c>
    </row>
    <row r="325" spans="1:19" ht="19.7" customHeight="1">
      <c r="A325" s="278" t="s">
        <v>942</v>
      </c>
      <c r="B325" s="590" t="s">
        <v>943</v>
      </c>
      <c r="C325" s="589"/>
      <c r="D325" s="589"/>
      <c r="E325" s="589"/>
      <c r="F325" s="589"/>
      <c r="G325" s="589"/>
      <c r="H325" s="251" t="s">
        <v>944</v>
      </c>
      <c r="I325" s="268" t="s">
        <v>3</v>
      </c>
      <c r="J325" s="251">
        <v>41395</v>
      </c>
      <c r="K325" s="269">
        <f>67.78*T1</f>
        <v>399.90200000000004</v>
      </c>
      <c r="L325" s="590" t="s">
        <v>356</v>
      </c>
      <c r="M325" s="589"/>
      <c r="N325" s="589"/>
      <c r="O325" s="589"/>
      <c r="P325" s="591"/>
      <c r="R325" s="254">
        <f t="shared" si="14"/>
        <v>453.77768611111117</v>
      </c>
      <c r="S325" s="255">
        <f t="shared" si="15"/>
        <v>0.53888888888888886</v>
      </c>
    </row>
    <row r="326" spans="1:19" ht="19.7" customHeight="1">
      <c r="A326" s="278" t="s">
        <v>945</v>
      </c>
      <c r="B326" s="590" t="s">
        <v>946</v>
      </c>
      <c r="C326" s="589"/>
      <c r="D326" s="589"/>
      <c r="E326" s="589"/>
      <c r="F326" s="589"/>
      <c r="G326" s="589"/>
      <c r="H326" s="251" t="s">
        <v>944</v>
      </c>
      <c r="I326" s="268" t="s">
        <v>3</v>
      </c>
      <c r="J326" s="251">
        <v>41395</v>
      </c>
      <c r="K326" s="269">
        <f>857.49*T1</f>
        <v>5059.1910000000007</v>
      </c>
      <c r="L326" s="590" t="s">
        <v>356</v>
      </c>
      <c r="M326" s="589"/>
      <c r="N326" s="589"/>
      <c r="O326" s="589"/>
      <c r="P326" s="591"/>
      <c r="R326" s="254">
        <f t="shared" si="14"/>
        <v>5740.7764541666675</v>
      </c>
      <c r="S326" s="255">
        <f t="shared" si="15"/>
        <v>0.53888888888888886</v>
      </c>
    </row>
    <row r="327" spans="1:19" ht="19.7" customHeight="1">
      <c r="A327" s="278" t="s">
        <v>947</v>
      </c>
      <c r="B327" s="590" t="s">
        <v>948</v>
      </c>
      <c r="C327" s="589"/>
      <c r="D327" s="589"/>
      <c r="E327" s="589"/>
      <c r="F327" s="589"/>
      <c r="G327" s="589"/>
      <c r="H327" s="251" t="s">
        <v>944</v>
      </c>
      <c r="I327" s="268" t="s">
        <v>3</v>
      </c>
      <c r="J327" s="251">
        <v>41395</v>
      </c>
      <c r="K327" s="269">
        <f>1070.97*T1</f>
        <v>6318.7230000000009</v>
      </c>
      <c r="L327" s="590" t="s">
        <v>356</v>
      </c>
      <c r="M327" s="589"/>
      <c r="N327" s="589"/>
      <c r="O327" s="589"/>
      <c r="P327" s="591"/>
      <c r="R327" s="254">
        <f t="shared" si="14"/>
        <v>7169.9954041666679</v>
      </c>
      <c r="S327" s="255">
        <f t="shared" si="15"/>
        <v>0.53888888888888886</v>
      </c>
    </row>
    <row r="328" spans="1:19" ht="19.7" customHeight="1">
      <c r="A328" s="278"/>
      <c r="B328" s="590"/>
      <c r="C328" s="589"/>
      <c r="D328" s="589"/>
      <c r="E328" s="589"/>
      <c r="F328" s="589"/>
      <c r="G328" s="589"/>
      <c r="H328" s="251"/>
      <c r="I328" s="268"/>
      <c r="J328" s="251"/>
      <c r="K328" s="269"/>
      <c r="L328" s="590"/>
      <c r="M328" s="589"/>
      <c r="N328" s="589"/>
      <c r="O328" s="589"/>
      <c r="P328" s="591"/>
      <c r="R328" s="254" t="str">
        <f t="shared" si="14"/>
        <v/>
      </c>
      <c r="S328" s="255" t="str">
        <f t="shared" si="15"/>
        <v/>
      </c>
    </row>
    <row r="329" spans="1:19" ht="19.7" customHeight="1">
      <c r="A329" s="234" t="s">
        <v>949</v>
      </c>
      <c r="B329" s="235" t="s">
        <v>950</v>
      </c>
      <c r="C329" s="235"/>
      <c r="D329" s="235"/>
      <c r="E329" s="235"/>
      <c r="F329" s="235"/>
      <c r="G329" s="235"/>
      <c r="H329" s="236"/>
      <c r="I329" s="236"/>
      <c r="J329" s="237"/>
      <c r="K329" s="275"/>
      <c r="L329" s="239"/>
      <c r="M329" s="239"/>
      <c r="N329" s="239"/>
      <c r="O329" s="239"/>
      <c r="P329" s="240"/>
      <c r="R329" s="254" t="str">
        <f t="shared" si="14"/>
        <v/>
      </c>
      <c r="S329" s="255" t="str">
        <f t="shared" si="15"/>
        <v/>
      </c>
    </row>
    <row r="330" spans="1:19" ht="19.7" customHeight="1">
      <c r="A330" s="278" t="s">
        <v>951</v>
      </c>
      <c r="B330" s="590" t="s">
        <v>952</v>
      </c>
      <c r="C330" s="589"/>
      <c r="D330" s="589"/>
      <c r="E330" s="589"/>
      <c r="F330" s="589"/>
      <c r="G330" s="589"/>
      <c r="H330" s="251"/>
      <c r="I330" s="268" t="s">
        <v>3</v>
      </c>
      <c r="J330" s="251">
        <v>41408</v>
      </c>
      <c r="K330" s="269">
        <v>17500</v>
      </c>
      <c r="L330" s="590" t="s">
        <v>953</v>
      </c>
      <c r="M330" s="589"/>
      <c r="N330" s="589"/>
      <c r="O330" s="589"/>
      <c r="P330" s="591"/>
      <c r="R330" s="254">
        <f t="shared" si="14"/>
        <v>19699.652777777781</v>
      </c>
      <c r="S330" s="255">
        <f t="shared" si="15"/>
        <v>0.50277777777777777</v>
      </c>
    </row>
    <row r="331" spans="1:19" ht="19.7" customHeight="1">
      <c r="A331" s="278" t="s">
        <v>954</v>
      </c>
      <c r="B331" s="590" t="s">
        <v>955</v>
      </c>
      <c r="C331" s="589"/>
      <c r="D331" s="589"/>
      <c r="E331" s="589"/>
      <c r="F331" s="589"/>
      <c r="G331" s="589"/>
      <c r="H331" s="251"/>
      <c r="I331" s="268" t="s">
        <v>3</v>
      </c>
      <c r="J331" s="251">
        <v>41557</v>
      </c>
      <c r="K331" s="269">
        <v>19460</v>
      </c>
      <c r="L331" s="590" t="s">
        <v>953</v>
      </c>
      <c r="M331" s="589"/>
      <c r="N331" s="589"/>
      <c r="O331" s="589"/>
      <c r="P331" s="591"/>
      <c r="R331" s="254">
        <f t="shared" si="14"/>
        <v>19932.986111111113</v>
      </c>
      <c r="S331" s="255">
        <f t="shared" si="15"/>
        <v>9.7222222222222224E-2</v>
      </c>
    </row>
    <row r="332" spans="1:19" ht="19.7" customHeight="1">
      <c r="A332" s="278" t="s">
        <v>956</v>
      </c>
      <c r="B332" s="590" t="s">
        <v>957</v>
      </c>
      <c r="C332" s="589"/>
      <c r="D332" s="589"/>
      <c r="E332" s="589"/>
      <c r="F332" s="589"/>
      <c r="G332" s="589"/>
      <c r="H332" s="251"/>
      <c r="I332" s="268" t="s">
        <v>3</v>
      </c>
      <c r="J332" s="251">
        <v>41408</v>
      </c>
      <c r="K332" s="269">
        <v>1542</v>
      </c>
      <c r="L332" s="590" t="s">
        <v>953</v>
      </c>
      <c r="M332" s="589"/>
      <c r="N332" s="589"/>
      <c r="O332" s="589"/>
      <c r="P332" s="591"/>
      <c r="R332" s="254">
        <f t="shared" si="14"/>
        <v>1735.8208333333334</v>
      </c>
      <c r="S332" s="255">
        <f t="shared" si="15"/>
        <v>0.50277777777777777</v>
      </c>
    </row>
    <row r="333" spans="1:19" ht="19.7" customHeight="1">
      <c r="A333" s="278" t="s">
        <v>958</v>
      </c>
      <c r="B333" s="590" t="s">
        <v>959</v>
      </c>
      <c r="C333" s="589"/>
      <c r="D333" s="589"/>
      <c r="E333" s="589"/>
      <c r="F333" s="589"/>
      <c r="G333" s="589"/>
      <c r="H333" s="251"/>
      <c r="I333" s="268" t="s">
        <v>3</v>
      </c>
      <c r="J333" s="251">
        <v>41400</v>
      </c>
      <c r="K333" s="269">
        <v>1005</v>
      </c>
      <c r="L333" s="590" t="s">
        <v>920</v>
      </c>
      <c r="M333" s="589"/>
      <c r="N333" s="589"/>
      <c r="O333" s="589"/>
      <c r="P333" s="591"/>
      <c r="R333" s="254">
        <f t="shared" si="14"/>
        <v>1136.90625</v>
      </c>
      <c r="S333" s="255">
        <f t="shared" si="15"/>
        <v>0.52500000000000002</v>
      </c>
    </row>
    <row r="334" spans="1:19" ht="19.7" customHeight="1">
      <c r="A334" s="278" t="s">
        <v>960</v>
      </c>
      <c r="B334" s="590" t="s">
        <v>961</v>
      </c>
      <c r="C334" s="589"/>
      <c r="D334" s="589"/>
      <c r="E334" s="589"/>
      <c r="F334" s="589"/>
      <c r="G334" s="589"/>
      <c r="H334" s="251"/>
      <c r="I334" s="268" t="s">
        <v>3</v>
      </c>
      <c r="J334" s="251">
        <v>41536</v>
      </c>
      <c r="K334" s="269">
        <v>1080.25</v>
      </c>
      <c r="L334" s="590" t="s">
        <v>920</v>
      </c>
      <c r="M334" s="589"/>
      <c r="N334" s="589"/>
      <c r="O334" s="589"/>
      <c r="P334" s="591"/>
      <c r="R334" s="254">
        <f t="shared" si="14"/>
        <v>1122.2597222222223</v>
      </c>
      <c r="S334" s="255">
        <f t="shared" si="15"/>
        <v>0.15555555555555556</v>
      </c>
    </row>
    <row r="335" spans="1:19" ht="19.7" customHeight="1">
      <c r="A335" s="278" t="s">
        <v>962</v>
      </c>
      <c r="B335" s="590" t="s">
        <v>963</v>
      </c>
      <c r="C335" s="589"/>
      <c r="D335" s="589"/>
      <c r="E335" s="589"/>
      <c r="F335" s="589"/>
      <c r="G335" s="589"/>
      <c r="H335" s="251"/>
      <c r="I335" s="268" t="s">
        <v>3</v>
      </c>
      <c r="J335" s="251">
        <v>41536</v>
      </c>
      <c r="K335" s="269">
        <v>1170.18</v>
      </c>
      <c r="L335" s="590" t="s">
        <v>920</v>
      </c>
      <c r="M335" s="589"/>
      <c r="N335" s="589"/>
      <c r="O335" s="589"/>
      <c r="P335" s="591"/>
      <c r="R335" s="254">
        <f t="shared" si="14"/>
        <v>1215.6870000000001</v>
      </c>
      <c r="S335" s="255">
        <f t="shared" si="15"/>
        <v>0.15555555555555556</v>
      </c>
    </row>
    <row r="336" spans="1:19" ht="19.7" customHeight="1">
      <c r="A336" s="278"/>
      <c r="B336" s="590"/>
      <c r="C336" s="589"/>
      <c r="D336" s="589"/>
      <c r="E336" s="589"/>
      <c r="F336" s="589"/>
      <c r="G336" s="589"/>
      <c r="H336" s="251"/>
      <c r="I336" s="268"/>
      <c r="J336" s="251"/>
      <c r="K336" s="269"/>
      <c r="L336" s="590"/>
      <c r="M336" s="589"/>
      <c r="N336" s="589"/>
      <c r="O336" s="589"/>
      <c r="P336" s="591"/>
      <c r="R336" s="254" t="str">
        <f t="shared" si="14"/>
        <v/>
      </c>
      <c r="S336" s="255" t="str">
        <f t="shared" si="15"/>
        <v/>
      </c>
    </row>
    <row r="337" spans="1:19" ht="19.7" customHeight="1">
      <c r="A337" s="278"/>
      <c r="B337" s="590"/>
      <c r="C337" s="589"/>
      <c r="D337" s="589"/>
      <c r="E337" s="589"/>
      <c r="F337" s="589"/>
      <c r="G337" s="589"/>
      <c r="H337" s="251"/>
      <c r="I337" s="268"/>
      <c r="J337" s="251"/>
      <c r="K337" s="269"/>
      <c r="L337" s="590"/>
      <c r="M337" s="589"/>
      <c r="N337" s="589"/>
      <c r="O337" s="589"/>
      <c r="P337" s="591"/>
      <c r="R337" s="254" t="str">
        <f t="shared" si="14"/>
        <v/>
      </c>
      <c r="S337" s="255" t="str">
        <f t="shared" si="15"/>
        <v/>
      </c>
    </row>
    <row r="338" spans="1:19" ht="19.7" customHeight="1">
      <c r="A338" s="259"/>
      <c r="B338" s="593"/>
      <c r="C338" s="592"/>
      <c r="D338" s="592"/>
      <c r="E338" s="592"/>
      <c r="F338" s="592"/>
      <c r="G338" s="592"/>
      <c r="H338" s="273"/>
      <c r="I338" s="272"/>
      <c r="J338" s="273"/>
      <c r="K338" s="274"/>
      <c r="L338" s="593"/>
      <c r="M338" s="592"/>
      <c r="N338" s="592"/>
      <c r="O338" s="592"/>
      <c r="P338" s="594"/>
      <c r="R338" s="254" t="str">
        <f t="shared" si="14"/>
        <v/>
      </c>
      <c r="S338" s="255" t="str">
        <f t="shared" si="15"/>
        <v/>
      </c>
    </row>
    <row r="339" spans="1:19" ht="19.7" customHeight="1">
      <c r="A339" s="234" t="s">
        <v>964</v>
      </c>
      <c r="B339" s="235" t="s">
        <v>590</v>
      </c>
      <c r="C339" s="235"/>
      <c r="D339" s="235"/>
      <c r="E339" s="235"/>
      <c r="F339" s="235"/>
      <c r="G339" s="235"/>
      <c r="H339" s="236"/>
      <c r="I339" s="236"/>
      <c r="J339" s="237"/>
      <c r="K339" s="275"/>
      <c r="L339" s="239"/>
      <c r="M339" s="239"/>
      <c r="N339" s="239"/>
      <c r="O339" s="239"/>
      <c r="P339" s="240"/>
      <c r="R339" s="254" t="str">
        <f t="shared" si="14"/>
        <v/>
      </c>
      <c r="S339" s="255" t="str">
        <f t="shared" si="15"/>
        <v/>
      </c>
    </row>
    <row r="340" spans="1:19" ht="19.7" customHeight="1">
      <c r="A340" s="276" t="s">
        <v>965</v>
      </c>
      <c r="B340" s="587" t="s">
        <v>966</v>
      </c>
      <c r="C340" s="586"/>
      <c r="D340" s="586"/>
      <c r="E340" s="586"/>
      <c r="F340" s="586"/>
      <c r="G340" s="586"/>
      <c r="H340" s="243" t="s">
        <v>967</v>
      </c>
      <c r="I340" s="265" t="s">
        <v>968</v>
      </c>
      <c r="J340" s="243">
        <v>41379</v>
      </c>
      <c r="K340" s="266">
        <v>5.1289999999999996</v>
      </c>
      <c r="L340" s="587" t="s">
        <v>969</v>
      </c>
      <c r="M340" s="586"/>
      <c r="N340" s="586"/>
      <c r="O340" s="586"/>
      <c r="P340" s="588"/>
      <c r="R340" s="254">
        <f t="shared" si="14"/>
        <v>5.8769791666666658</v>
      </c>
      <c r="S340" s="255">
        <f t="shared" si="15"/>
        <v>0.58333333333333337</v>
      </c>
    </row>
    <row r="341" spans="1:19" ht="19.7" customHeight="1">
      <c r="A341" s="278"/>
      <c r="B341" s="590" t="s">
        <v>970</v>
      </c>
      <c r="C341" s="589"/>
      <c r="D341" s="589"/>
      <c r="E341" s="589"/>
      <c r="F341" s="589"/>
      <c r="G341" s="589"/>
      <c r="H341" s="251"/>
      <c r="I341" s="268"/>
      <c r="J341" s="251">
        <v>41519</v>
      </c>
      <c r="K341" s="269">
        <f>240000+29800+26800</f>
        <v>296600</v>
      </c>
      <c r="L341" s="590" t="s">
        <v>971</v>
      </c>
      <c r="M341" s="589"/>
      <c r="N341" s="589"/>
      <c r="O341" s="589"/>
      <c r="P341" s="591"/>
      <c r="R341" s="254">
        <f t="shared" si="14"/>
        <v>311635.97222222219</v>
      </c>
      <c r="S341" s="255">
        <f t="shared" si="15"/>
        <v>0.20277777777777778</v>
      </c>
    </row>
    <row r="342" spans="1:19" ht="19.7" customHeight="1">
      <c r="A342" s="278"/>
      <c r="B342" s="590" t="s">
        <v>972</v>
      </c>
      <c r="C342" s="589"/>
      <c r="D342" s="589"/>
      <c r="E342" s="589"/>
      <c r="F342" s="589"/>
      <c r="G342" s="589"/>
      <c r="H342" s="251"/>
      <c r="I342" s="268" t="s">
        <v>973</v>
      </c>
      <c r="J342" s="251">
        <v>41529</v>
      </c>
      <c r="K342" s="269">
        <v>1150</v>
      </c>
      <c r="L342" s="590"/>
      <c r="M342" s="589"/>
      <c r="N342" s="589"/>
      <c r="O342" s="589"/>
      <c r="P342" s="591"/>
      <c r="R342" s="254">
        <f t="shared" ref="R342" si="16">IF(J342&gt;0, K342*(1+(T$2/100)*S342), "")</f>
        <v>1200.3125</v>
      </c>
      <c r="S342" s="255">
        <f t="shared" ref="S342" si="17">IF(K342&gt;0, DAYS360(J342,T$3)/360, "")</f>
        <v>0.17499999999999999</v>
      </c>
    </row>
    <row r="343" spans="1:19" ht="19.7" customHeight="1">
      <c r="A343" s="278"/>
      <c r="B343" s="293"/>
      <c r="C343" s="291"/>
      <c r="D343" s="291"/>
      <c r="E343" s="291"/>
      <c r="F343" s="291"/>
      <c r="G343" s="291"/>
      <c r="H343" s="251"/>
      <c r="I343" s="268"/>
      <c r="J343" s="251"/>
      <c r="K343" s="269"/>
      <c r="L343" s="293"/>
      <c r="M343" s="291"/>
      <c r="N343" s="291"/>
      <c r="O343" s="291"/>
      <c r="P343" s="292"/>
      <c r="R343" s="254"/>
      <c r="S343" s="255"/>
    </row>
    <row r="344" spans="1:19" ht="19.7" customHeight="1">
      <c r="A344" s="278"/>
      <c r="B344" s="590" t="s">
        <v>974</v>
      </c>
      <c r="C344" s="589"/>
      <c r="D344" s="589"/>
      <c r="E344" s="589"/>
      <c r="F344" s="589"/>
      <c r="G344" s="589"/>
      <c r="H344" s="251"/>
      <c r="I344" s="268" t="s">
        <v>3</v>
      </c>
      <c r="J344" s="251">
        <v>41549</v>
      </c>
      <c r="K344" s="269">
        <v>757.97</v>
      </c>
      <c r="L344" s="590" t="s">
        <v>975</v>
      </c>
      <c r="M344" s="589"/>
      <c r="N344" s="589"/>
      <c r="O344" s="589"/>
      <c r="P344" s="591"/>
      <c r="R344" s="254"/>
      <c r="S344" s="255"/>
    </row>
    <row r="345" spans="1:19" ht="19.7" customHeight="1">
      <c r="A345" s="278"/>
      <c r="B345" s="590" t="s">
        <v>976</v>
      </c>
      <c r="C345" s="589"/>
      <c r="D345" s="589"/>
      <c r="E345" s="589"/>
      <c r="F345" s="589"/>
      <c r="G345" s="589"/>
      <c r="H345" s="251"/>
      <c r="I345" s="268" t="s">
        <v>3</v>
      </c>
      <c r="J345" s="251">
        <v>41549</v>
      </c>
      <c r="K345" s="269">
        <v>919.03</v>
      </c>
      <c r="L345" s="590" t="s">
        <v>975</v>
      </c>
      <c r="M345" s="589"/>
      <c r="N345" s="589"/>
      <c r="O345" s="589"/>
      <c r="P345" s="591"/>
      <c r="R345" s="254"/>
      <c r="S345" s="255"/>
    </row>
    <row r="346" spans="1:19" ht="19.7" customHeight="1">
      <c r="A346" s="278"/>
      <c r="B346" s="590" t="s">
        <v>977</v>
      </c>
      <c r="C346" s="589"/>
      <c r="D346" s="589"/>
      <c r="E346" s="589"/>
      <c r="F346" s="589"/>
      <c r="G346" s="589"/>
      <c r="H346" s="251"/>
      <c r="I346" s="268" t="s">
        <v>3</v>
      </c>
      <c r="J346" s="251">
        <v>41549</v>
      </c>
      <c r="K346" s="269">
        <v>860</v>
      </c>
      <c r="L346" s="590" t="s">
        <v>975</v>
      </c>
      <c r="M346" s="589"/>
      <c r="N346" s="589"/>
      <c r="O346" s="589"/>
      <c r="P346" s="591"/>
      <c r="R346" s="254"/>
      <c r="S346" s="255"/>
    </row>
    <row r="347" spans="1:19" ht="19.7" customHeight="1">
      <c r="A347" s="278"/>
      <c r="B347" s="590" t="s">
        <v>978</v>
      </c>
      <c r="C347" s="589"/>
      <c r="D347" s="589"/>
      <c r="E347" s="589"/>
      <c r="F347" s="589"/>
      <c r="G347" s="589"/>
      <c r="H347" s="251"/>
      <c r="I347" s="268" t="s">
        <v>973</v>
      </c>
      <c r="J347" s="251">
        <v>41549</v>
      </c>
      <c r="K347" s="269">
        <v>613</v>
      </c>
      <c r="L347" s="590" t="s">
        <v>975</v>
      </c>
      <c r="M347" s="589"/>
      <c r="N347" s="589"/>
      <c r="O347" s="589"/>
      <c r="P347" s="591"/>
      <c r="R347" s="254"/>
      <c r="S347" s="255"/>
    </row>
    <row r="348" spans="1:19" ht="19.7" customHeight="1">
      <c r="A348" s="278"/>
      <c r="B348" s="590" t="s">
        <v>979</v>
      </c>
      <c r="C348" s="589"/>
      <c r="D348" s="589"/>
      <c r="E348" s="589"/>
      <c r="F348" s="589"/>
      <c r="G348" s="589"/>
      <c r="H348" s="251"/>
      <c r="I348" s="268" t="s">
        <v>3</v>
      </c>
      <c r="J348" s="251">
        <v>41549</v>
      </c>
      <c r="K348" s="269">
        <v>1838.47</v>
      </c>
      <c r="L348" s="590" t="s">
        <v>975</v>
      </c>
      <c r="M348" s="589"/>
      <c r="N348" s="589"/>
      <c r="O348" s="589"/>
      <c r="P348" s="591"/>
      <c r="R348" s="254"/>
      <c r="S348" s="255"/>
    </row>
    <row r="349" spans="1:19" ht="19.7" customHeight="1">
      <c r="A349" s="278"/>
      <c r="B349" s="590" t="s">
        <v>980</v>
      </c>
      <c r="C349" s="589"/>
      <c r="D349" s="589"/>
      <c r="E349" s="589"/>
      <c r="F349" s="589"/>
      <c r="G349" s="589"/>
      <c r="H349" s="251"/>
      <c r="I349" s="268" t="s">
        <v>3</v>
      </c>
      <c r="J349" s="251">
        <v>41549</v>
      </c>
      <c r="K349" s="269">
        <v>2370</v>
      </c>
      <c r="L349" s="590" t="s">
        <v>981</v>
      </c>
      <c r="M349" s="589"/>
      <c r="N349" s="589"/>
      <c r="O349" s="589"/>
      <c r="P349" s="591"/>
      <c r="R349" s="254"/>
      <c r="S349" s="255"/>
    </row>
    <row r="350" spans="1:19" ht="19.7" customHeight="1">
      <c r="A350" s="278"/>
      <c r="B350" s="590" t="s">
        <v>982</v>
      </c>
      <c r="C350" s="589"/>
      <c r="D350" s="589"/>
      <c r="E350" s="589"/>
      <c r="F350" s="589"/>
      <c r="G350" s="589"/>
      <c r="H350" s="251"/>
      <c r="I350" s="268" t="s">
        <v>3</v>
      </c>
      <c r="J350" s="251">
        <v>41550</v>
      </c>
      <c r="K350" s="269">
        <v>2020</v>
      </c>
      <c r="L350" s="590" t="s">
        <v>983</v>
      </c>
      <c r="M350" s="589"/>
      <c r="N350" s="589"/>
      <c r="O350" s="589"/>
      <c r="P350" s="591"/>
      <c r="R350" s="254"/>
      <c r="S350" s="255"/>
    </row>
    <row r="351" spans="1:19" ht="19.7" customHeight="1">
      <c r="A351" s="278"/>
      <c r="B351" s="590" t="s">
        <v>984</v>
      </c>
      <c r="C351" s="589"/>
      <c r="D351" s="589"/>
      <c r="E351" s="589"/>
      <c r="F351" s="589"/>
      <c r="G351" s="589"/>
      <c r="H351" s="251"/>
      <c r="I351" s="268" t="s">
        <v>3</v>
      </c>
      <c r="J351" s="251">
        <v>41551</v>
      </c>
      <c r="K351" s="269">
        <v>1450</v>
      </c>
      <c r="L351" s="590" t="s">
        <v>983</v>
      </c>
      <c r="M351" s="589"/>
      <c r="N351" s="589"/>
      <c r="O351" s="589"/>
      <c r="P351" s="591"/>
      <c r="R351" s="254"/>
      <c r="S351" s="255"/>
    </row>
    <row r="352" spans="1:19" ht="19.7" customHeight="1">
      <c r="A352" s="278"/>
      <c r="B352" s="606" t="s">
        <v>985</v>
      </c>
      <c r="C352" s="607"/>
      <c r="D352" s="607"/>
      <c r="E352" s="607"/>
      <c r="F352" s="607"/>
      <c r="G352" s="607"/>
      <c r="H352" s="251"/>
      <c r="I352" s="268" t="s">
        <v>3</v>
      </c>
      <c r="J352" s="251">
        <v>41552</v>
      </c>
      <c r="K352" s="269">
        <v>3197</v>
      </c>
      <c r="L352" s="590" t="s">
        <v>986</v>
      </c>
      <c r="M352" s="589"/>
      <c r="N352" s="589"/>
      <c r="O352" s="589"/>
      <c r="P352" s="591"/>
      <c r="R352" s="254"/>
      <c r="S352" s="255"/>
    </row>
    <row r="353" spans="1:19" ht="19.7" customHeight="1">
      <c r="A353" s="278"/>
      <c r="B353" s="606" t="s">
        <v>987</v>
      </c>
      <c r="C353" s="607"/>
      <c r="D353" s="607"/>
      <c r="E353" s="607"/>
      <c r="F353" s="607"/>
      <c r="G353" s="607"/>
      <c r="H353" s="251"/>
      <c r="I353" s="268" t="s">
        <v>3</v>
      </c>
      <c r="J353" s="251">
        <v>41551</v>
      </c>
      <c r="K353" s="269">
        <v>16967</v>
      </c>
      <c r="L353" s="590" t="s">
        <v>986</v>
      </c>
      <c r="M353" s="589"/>
      <c r="N353" s="589"/>
      <c r="O353" s="589"/>
      <c r="P353" s="591"/>
      <c r="R353" s="254"/>
      <c r="S353" s="255"/>
    </row>
    <row r="354" spans="1:19" ht="33.75" customHeight="1">
      <c r="A354" s="278"/>
      <c r="B354" s="608" t="s">
        <v>988</v>
      </c>
      <c r="C354" s="609"/>
      <c r="D354" s="609"/>
      <c r="E354" s="609"/>
      <c r="F354" s="609"/>
      <c r="G354" s="610"/>
      <c r="H354" s="251"/>
      <c r="I354" s="268" t="s">
        <v>3</v>
      </c>
      <c r="J354" s="251">
        <v>41551</v>
      </c>
      <c r="K354" s="269">
        <v>21640</v>
      </c>
      <c r="L354" s="590" t="s">
        <v>986</v>
      </c>
      <c r="M354" s="589"/>
      <c r="N354" s="589"/>
      <c r="O354" s="589"/>
      <c r="P354" s="591"/>
      <c r="R354" s="254"/>
      <c r="S354" s="255"/>
    </row>
    <row r="355" spans="1:19" ht="19.7" customHeight="1">
      <c r="A355" s="278"/>
      <c r="B355" s="590" t="s">
        <v>989</v>
      </c>
      <c r="C355" s="589"/>
      <c r="D355" s="589"/>
      <c r="E355" s="589"/>
      <c r="F355" s="589"/>
      <c r="G355" s="589"/>
      <c r="H355" s="251"/>
      <c r="I355" s="268" t="s">
        <v>3</v>
      </c>
      <c r="J355" s="251">
        <v>41551</v>
      </c>
      <c r="K355" s="269">
        <v>3.1</v>
      </c>
      <c r="L355" s="590" t="s">
        <v>986</v>
      </c>
      <c r="M355" s="589"/>
      <c r="N355" s="589"/>
      <c r="O355" s="589"/>
      <c r="P355" s="591"/>
      <c r="R355" s="254"/>
      <c r="S355" s="255"/>
    </row>
    <row r="356" spans="1:19" ht="19.7" customHeight="1">
      <c r="A356" s="278"/>
      <c r="B356" s="590" t="s">
        <v>990</v>
      </c>
      <c r="C356" s="589"/>
      <c r="D356" s="589"/>
      <c r="E356" s="589"/>
      <c r="F356" s="589"/>
      <c r="G356" s="589"/>
      <c r="H356" s="251"/>
      <c r="I356" s="268" t="s">
        <v>3</v>
      </c>
      <c r="J356" s="251">
        <v>41551</v>
      </c>
      <c r="K356" s="269">
        <v>1.29</v>
      </c>
      <c r="L356" s="590" t="s">
        <v>986</v>
      </c>
      <c r="M356" s="589"/>
      <c r="N356" s="589"/>
      <c r="O356" s="589"/>
      <c r="P356" s="591"/>
      <c r="R356" s="254"/>
      <c r="S356" s="255"/>
    </row>
    <row r="357" spans="1:19" ht="19.7" customHeight="1">
      <c r="A357" s="278"/>
      <c r="B357" s="590"/>
      <c r="C357" s="589"/>
      <c r="D357" s="589"/>
      <c r="E357" s="589"/>
      <c r="F357" s="589"/>
      <c r="G357" s="589"/>
      <c r="H357" s="251"/>
      <c r="I357" s="268"/>
      <c r="J357" s="251"/>
      <c r="K357" s="269"/>
      <c r="L357" s="590"/>
      <c r="M357" s="589"/>
      <c r="N357" s="589"/>
      <c r="O357" s="589"/>
      <c r="P357" s="591"/>
      <c r="R357" s="254"/>
      <c r="S357" s="255"/>
    </row>
    <row r="358" spans="1:19" ht="19.7" customHeight="1">
      <c r="A358" s="278"/>
      <c r="B358" s="590"/>
      <c r="C358" s="589"/>
      <c r="D358" s="589"/>
      <c r="E358" s="589"/>
      <c r="F358" s="589"/>
      <c r="G358" s="589"/>
      <c r="H358" s="251"/>
      <c r="I358" s="268"/>
      <c r="J358" s="251"/>
      <c r="K358" s="269"/>
      <c r="L358" s="590"/>
      <c r="M358" s="589"/>
      <c r="N358" s="589"/>
      <c r="O358" s="589"/>
      <c r="P358" s="591"/>
      <c r="R358" s="254"/>
      <c r="S358" s="255"/>
    </row>
    <row r="359" spans="1:19" ht="19.7" customHeight="1">
      <c r="A359" s="278"/>
      <c r="B359" s="590"/>
      <c r="C359" s="589"/>
      <c r="D359" s="589"/>
      <c r="E359" s="589"/>
      <c r="F359" s="589"/>
      <c r="G359" s="589"/>
      <c r="H359" s="251"/>
      <c r="I359" s="268"/>
      <c r="J359" s="251"/>
      <c r="K359" s="269"/>
      <c r="L359" s="590"/>
      <c r="M359" s="589"/>
      <c r="N359" s="589"/>
      <c r="O359" s="589"/>
      <c r="P359" s="591"/>
      <c r="R359" s="254"/>
      <c r="S359" s="255"/>
    </row>
    <row r="360" spans="1:19" ht="19.7" customHeight="1">
      <c r="A360" s="278"/>
      <c r="B360" s="590"/>
      <c r="C360" s="589"/>
      <c r="D360" s="589"/>
      <c r="E360" s="589"/>
      <c r="F360" s="589"/>
      <c r="G360" s="589"/>
      <c r="H360" s="251"/>
      <c r="I360" s="268"/>
      <c r="J360" s="251"/>
      <c r="K360" s="269"/>
      <c r="L360" s="590"/>
      <c r="M360" s="589"/>
      <c r="N360" s="589"/>
      <c r="O360" s="589"/>
      <c r="P360" s="591"/>
      <c r="R360" s="254"/>
      <c r="S360" s="255"/>
    </row>
  </sheetData>
  <mergeCells count="651">
    <mergeCell ref="B227:G227"/>
    <mergeCell ref="L227:P227"/>
    <mergeCell ref="B225:G225"/>
    <mergeCell ref="L225:P225"/>
    <mergeCell ref="B226:G226"/>
    <mergeCell ref="L226:P226"/>
    <mergeCell ref="B207:G207"/>
    <mergeCell ref="L207:P207"/>
    <mergeCell ref="B360:G360"/>
    <mergeCell ref="L360:P360"/>
    <mergeCell ref="B357:G357"/>
    <mergeCell ref="L357:P357"/>
    <mergeCell ref="B358:G358"/>
    <mergeCell ref="L358:P358"/>
    <mergeCell ref="B359:G359"/>
    <mergeCell ref="L359:P359"/>
    <mergeCell ref="B354:G354"/>
    <mergeCell ref="L354:P354"/>
    <mergeCell ref="B355:G355"/>
    <mergeCell ref="L355:P355"/>
    <mergeCell ref="B356:G356"/>
    <mergeCell ref="L356:P356"/>
    <mergeCell ref="B351:G351"/>
    <mergeCell ref="L351:P351"/>
    <mergeCell ref="B352:G352"/>
    <mergeCell ref="L352:P352"/>
    <mergeCell ref="B353:G353"/>
    <mergeCell ref="L353:P353"/>
    <mergeCell ref="B348:G348"/>
    <mergeCell ref="L348:P348"/>
    <mergeCell ref="B349:G349"/>
    <mergeCell ref="L349:P349"/>
    <mergeCell ref="B350:G350"/>
    <mergeCell ref="L350:P350"/>
    <mergeCell ref="B345:G345"/>
    <mergeCell ref="L345:P345"/>
    <mergeCell ref="B346:G346"/>
    <mergeCell ref="L346:P346"/>
    <mergeCell ref="B347:G347"/>
    <mergeCell ref="L347:P347"/>
    <mergeCell ref="B341:G341"/>
    <mergeCell ref="L341:P341"/>
    <mergeCell ref="B342:G342"/>
    <mergeCell ref="L342:P342"/>
    <mergeCell ref="B344:G344"/>
    <mergeCell ref="L344:P344"/>
    <mergeCell ref="B337:G337"/>
    <mergeCell ref="L337:P337"/>
    <mergeCell ref="B338:G338"/>
    <mergeCell ref="L338:P338"/>
    <mergeCell ref="B340:G340"/>
    <mergeCell ref="L340:P340"/>
    <mergeCell ref="B334:G334"/>
    <mergeCell ref="L334:P334"/>
    <mergeCell ref="B335:G335"/>
    <mergeCell ref="L335:P335"/>
    <mergeCell ref="B336:G336"/>
    <mergeCell ref="L336:P336"/>
    <mergeCell ref="B331:G331"/>
    <mergeCell ref="L331:P331"/>
    <mergeCell ref="B332:G332"/>
    <mergeCell ref="L332:P332"/>
    <mergeCell ref="B333:G333"/>
    <mergeCell ref="L333:P333"/>
    <mergeCell ref="B327:G327"/>
    <mergeCell ref="L327:P327"/>
    <mergeCell ref="B328:G328"/>
    <mergeCell ref="L328:P328"/>
    <mergeCell ref="B330:G330"/>
    <mergeCell ref="L330:P330"/>
    <mergeCell ref="B323:G323"/>
    <mergeCell ref="L323:P323"/>
    <mergeCell ref="B325:G325"/>
    <mergeCell ref="L325:P325"/>
    <mergeCell ref="B326:G326"/>
    <mergeCell ref="L326:P326"/>
    <mergeCell ref="B316:G316"/>
    <mergeCell ref="L316:P316"/>
    <mergeCell ref="B321:G321"/>
    <mergeCell ref="L321:P321"/>
    <mergeCell ref="B322:G322"/>
    <mergeCell ref="L322:P322"/>
    <mergeCell ref="B313:G313"/>
    <mergeCell ref="L313:P313"/>
    <mergeCell ref="B314:G314"/>
    <mergeCell ref="L314:P314"/>
    <mergeCell ref="B315:G315"/>
    <mergeCell ref="L315:P315"/>
    <mergeCell ref="B310:G310"/>
    <mergeCell ref="L310:P310"/>
    <mergeCell ref="B311:G311"/>
    <mergeCell ref="L311:P311"/>
    <mergeCell ref="B312:G312"/>
    <mergeCell ref="L312:P312"/>
    <mergeCell ref="B307:G307"/>
    <mergeCell ref="L307:P307"/>
    <mergeCell ref="B308:G308"/>
    <mergeCell ref="L308:P308"/>
    <mergeCell ref="B309:G309"/>
    <mergeCell ref="L309:P309"/>
    <mergeCell ref="B304:G304"/>
    <mergeCell ref="L304:P304"/>
    <mergeCell ref="B305:G305"/>
    <mergeCell ref="L305:P305"/>
    <mergeCell ref="B306:G306"/>
    <mergeCell ref="L306:P306"/>
    <mergeCell ref="B301:G301"/>
    <mergeCell ref="L301:P301"/>
    <mergeCell ref="B302:G302"/>
    <mergeCell ref="L302:P302"/>
    <mergeCell ref="B303:G303"/>
    <mergeCell ref="L303:P303"/>
    <mergeCell ref="B298:G298"/>
    <mergeCell ref="L298:P298"/>
    <mergeCell ref="B299:G299"/>
    <mergeCell ref="L299:P299"/>
    <mergeCell ref="B300:G300"/>
    <mergeCell ref="L300:P300"/>
    <mergeCell ref="B295:G295"/>
    <mergeCell ref="L295:P295"/>
    <mergeCell ref="B296:G296"/>
    <mergeCell ref="L296:P296"/>
    <mergeCell ref="B297:G297"/>
    <mergeCell ref="L297:P297"/>
    <mergeCell ref="B292:G292"/>
    <mergeCell ref="L292:P292"/>
    <mergeCell ref="B293:G293"/>
    <mergeCell ref="L293:P293"/>
    <mergeCell ref="B294:G294"/>
    <mergeCell ref="L294:P294"/>
    <mergeCell ref="B289:G289"/>
    <mergeCell ref="L289:P289"/>
    <mergeCell ref="B290:G290"/>
    <mergeCell ref="L290:P290"/>
    <mergeCell ref="B291:G291"/>
    <mergeCell ref="L291:P291"/>
    <mergeCell ref="B286:G286"/>
    <mergeCell ref="L286:P286"/>
    <mergeCell ref="B287:G287"/>
    <mergeCell ref="L287:P287"/>
    <mergeCell ref="B288:G288"/>
    <mergeCell ref="L288:P288"/>
    <mergeCell ref="B283:G283"/>
    <mergeCell ref="L283:P283"/>
    <mergeCell ref="B284:G284"/>
    <mergeCell ref="L284:P284"/>
    <mergeCell ref="B285:G285"/>
    <mergeCell ref="L285:P285"/>
    <mergeCell ref="B279:G279"/>
    <mergeCell ref="L279:P279"/>
    <mergeCell ref="B280:G280"/>
    <mergeCell ref="L280:P280"/>
    <mergeCell ref="B282:G282"/>
    <mergeCell ref="L282:P282"/>
    <mergeCell ref="B276:G276"/>
    <mergeCell ref="L276:P276"/>
    <mergeCell ref="B277:G277"/>
    <mergeCell ref="L277:P277"/>
    <mergeCell ref="B278:G278"/>
    <mergeCell ref="L278:P278"/>
    <mergeCell ref="B273:G273"/>
    <mergeCell ref="L273:P273"/>
    <mergeCell ref="B274:G274"/>
    <mergeCell ref="L274:P274"/>
    <mergeCell ref="B275:G275"/>
    <mergeCell ref="L275:P275"/>
    <mergeCell ref="B269:G269"/>
    <mergeCell ref="L269:P269"/>
    <mergeCell ref="B271:G271"/>
    <mergeCell ref="L271:P271"/>
    <mergeCell ref="B272:G272"/>
    <mergeCell ref="L272:P272"/>
    <mergeCell ref="B266:G266"/>
    <mergeCell ref="L266:P266"/>
    <mergeCell ref="B267:G267"/>
    <mergeCell ref="L267:P267"/>
    <mergeCell ref="B268:G268"/>
    <mergeCell ref="L268:P268"/>
    <mergeCell ref="B263:G263"/>
    <mergeCell ref="L263:P263"/>
    <mergeCell ref="B264:G264"/>
    <mergeCell ref="L264:P264"/>
    <mergeCell ref="B265:G265"/>
    <mergeCell ref="L265:P265"/>
    <mergeCell ref="B260:G260"/>
    <mergeCell ref="L260:P260"/>
    <mergeCell ref="B261:G261"/>
    <mergeCell ref="L261:P261"/>
    <mergeCell ref="B262:G262"/>
    <mergeCell ref="L262:P262"/>
    <mergeCell ref="B257:G257"/>
    <mergeCell ref="L257:P257"/>
    <mergeCell ref="B258:G258"/>
    <mergeCell ref="L258:P258"/>
    <mergeCell ref="B259:G259"/>
    <mergeCell ref="L259:P259"/>
    <mergeCell ref="B254:G254"/>
    <mergeCell ref="L254:P254"/>
    <mergeCell ref="B255:G255"/>
    <mergeCell ref="L255:P255"/>
    <mergeCell ref="B256:G256"/>
    <mergeCell ref="L256:P256"/>
    <mergeCell ref="B251:G251"/>
    <mergeCell ref="L251:P251"/>
    <mergeCell ref="B252:G252"/>
    <mergeCell ref="L252:P252"/>
    <mergeCell ref="B253:G253"/>
    <mergeCell ref="L253:P253"/>
    <mergeCell ref="B248:G248"/>
    <mergeCell ref="L248:P248"/>
    <mergeCell ref="B249:G249"/>
    <mergeCell ref="L249:P249"/>
    <mergeCell ref="B250:G250"/>
    <mergeCell ref="L250:P250"/>
    <mergeCell ref="B245:G245"/>
    <mergeCell ref="L245:P245"/>
    <mergeCell ref="B246:G246"/>
    <mergeCell ref="L246:P246"/>
    <mergeCell ref="B247:G247"/>
    <mergeCell ref="L247:P247"/>
    <mergeCell ref="B242:G242"/>
    <mergeCell ref="L242:P242"/>
    <mergeCell ref="B243:G243"/>
    <mergeCell ref="L243:P243"/>
    <mergeCell ref="B244:G244"/>
    <mergeCell ref="L244:P244"/>
    <mergeCell ref="B238:G238"/>
    <mergeCell ref="L238:P238"/>
    <mergeCell ref="B239:G239"/>
    <mergeCell ref="L239:P239"/>
    <mergeCell ref="B241:G241"/>
    <mergeCell ref="L241:P241"/>
    <mergeCell ref="B235:G235"/>
    <mergeCell ref="L235:P235"/>
    <mergeCell ref="B236:G236"/>
    <mergeCell ref="L236:P236"/>
    <mergeCell ref="B237:G237"/>
    <mergeCell ref="L237:P237"/>
    <mergeCell ref="B232:G232"/>
    <mergeCell ref="L232:P232"/>
    <mergeCell ref="B233:G233"/>
    <mergeCell ref="L233:P233"/>
    <mergeCell ref="B234:G234"/>
    <mergeCell ref="L234:P234"/>
    <mergeCell ref="B229:G229"/>
    <mergeCell ref="L229:P229"/>
    <mergeCell ref="B230:G230"/>
    <mergeCell ref="L230:P230"/>
    <mergeCell ref="B231:G231"/>
    <mergeCell ref="L231:P231"/>
    <mergeCell ref="B216:G216"/>
    <mergeCell ref="L216:P216"/>
    <mergeCell ref="B217:G217"/>
    <mergeCell ref="L217:P217"/>
    <mergeCell ref="B228:G228"/>
    <mergeCell ref="L228:P228"/>
    <mergeCell ref="B213:G213"/>
    <mergeCell ref="L213:P213"/>
    <mergeCell ref="B214:G214"/>
    <mergeCell ref="L214:P214"/>
    <mergeCell ref="B215:G215"/>
    <mergeCell ref="L215:P215"/>
    <mergeCell ref="B219:G219"/>
    <mergeCell ref="L219:P219"/>
    <mergeCell ref="B220:G220"/>
    <mergeCell ref="L220:P220"/>
    <mergeCell ref="B221:G221"/>
    <mergeCell ref="L221:P221"/>
    <mergeCell ref="B222:G222"/>
    <mergeCell ref="L222:P222"/>
    <mergeCell ref="B223:G223"/>
    <mergeCell ref="L223:P223"/>
    <mergeCell ref="B224:G224"/>
    <mergeCell ref="L224:P224"/>
    <mergeCell ref="B210:G210"/>
    <mergeCell ref="L210:P210"/>
    <mergeCell ref="B211:G211"/>
    <mergeCell ref="L211:P211"/>
    <mergeCell ref="B212:G212"/>
    <mergeCell ref="L212:P212"/>
    <mergeCell ref="B200:G200"/>
    <mergeCell ref="L200:P200"/>
    <mergeCell ref="B208:G208"/>
    <mergeCell ref="L208:P208"/>
    <mergeCell ref="B209:G209"/>
    <mergeCell ref="L209:P209"/>
    <mergeCell ref="B204:G204"/>
    <mergeCell ref="L204:P204"/>
    <mergeCell ref="B205:G205"/>
    <mergeCell ref="L205:P205"/>
    <mergeCell ref="B206:G206"/>
    <mergeCell ref="L206:P206"/>
    <mergeCell ref="B196:G196"/>
    <mergeCell ref="L196:P196"/>
    <mergeCell ref="B197:G197"/>
    <mergeCell ref="L197:P197"/>
    <mergeCell ref="B199:G199"/>
    <mergeCell ref="L199:P199"/>
    <mergeCell ref="B192:G192"/>
    <mergeCell ref="L192:P192"/>
    <mergeCell ref="B193:G193"/>
    <mergeCell ref="L193:P193"/>
    <mergeCell ref="B195:G195"/>
    <mergeCell ref="L195:P195"/>
    <mergeCell ref="B189:G189"/>
    <mergeCell ref="L189:P189"/>
    <mergeCell ref="B190:G190"/>
    <mergeCell ref="L190:P190"/>
    <mergeCell ref="B191:G191"/>
    <mergeCell ref="L191:P191"/>
    <mergeCell ref="B185:G185"/>
    <mergeCell ref="L185:P185"/>
    <mergeCell ref="B186:G186"/>
    <mergeCell ref="L186:P186"/>
    <mergeCell ref="B187:G187"/>
    <mergeCell ref="L187:P187"/>
    <mergeCell ref="B182:G182"/>
    <mergeCell ref="L182:P182"/>
    <mergeCell ref="B183:G183"/>
    <mergeCell ref="L183:P183"/>
    <mergeCell ref="B184:G184"/>
    <mergeCell ref="L184:P184"/>
    <mergeCell ref="B179:G179"/>
    <mergeCell ref="L179:P179"/>
    <mergeCell ref="B180:G180"/>
    <mergeCell ref="L180:P180"/>
    <mergeCell ref="B181:G181"/>
    <mergeCell ref="L181:P181"/>
    <mergeCell ref="B176:G176"/>
    <mergeCell ref="L176:P176"/>
    <mergeCell ref="B177:G177"/>
    <mergeCell ref="L177:P177"/>
    <mergeCell ref="B178:G178"/>
    <mergeCell ref="L178:P178"/>
    <mergeCell ref="B173:G173"/>
    <mergeCell ref="L173:P173"/>
    <mergeCell ref="B174:G174"/>
    <mergeCell ref="L174:P174"/>
    <mergeCell ref="B175:G175"/>
    <mergeCell ref="L175:P175"/>
    <mergeCell ref="B170:G170"/>
    <mergeCell ref="L170:P170"/>
    <mergeCell ref="B171:G171"/>
    <mergeCell ref="L171:P171"/>
    <mergeCell ref="B172:G172"/>
    <mergeCell ref="L172:P172"/>
    <mergeCell ref="B167:G167"/>
    <mergeCell ref="L167:P167"/>
    <mergeCell ref="B168:G168"/>
    <mergeCell ref="L168:P168"/>
    <mergeCell ref="B169:G169"/>
    <mergeCell ref="L169:P169"/>
    <mergeCell ref="B163:G163"/>
    <mergeCell ref="L163:P163"/>
    <mergeCell ref="B165:G165"/>
    <mergeCell ref="L165:P165"/>
    <mergeCell ref="B166:G166"/>
    <mergeCell ref="L166:P166"/>
    <mergeCell ref="B160:G160"/>
    <mergeCell ref="L160:P160"/>
    <mergeCell ref="B161:G161"/>
    <mergeCell ref="L161:P161"/>
    <mergeCell ref="B162:G162"/>
    <mergeCell ref="L162:P162"/>
    <mergeCell ref="B157:G157"/>
    <mergeCell ref="L157:P157"/>
    <mergeCell ref="B158:G158"/>
    <mergeCell ref="L158:P158"/>
    <mergeCell ref="B159:G159"/>
    <mergeCell ref="L159:P159"/>
    <mergeCell ref="B153:G153"/>
    <mergeCell ref="L153:P153"/>
    <mergeCell ref="B154:G154"/>
    <mergeCell ref="L154:P154"/>
    <mergeCell ref="B156:G156"/>
    <mergeCell ref="L156:P156"/>
    <mergeCell ref="B150:G150"/>
    <mergeCell ref="L150:P150"/>
    <mergeCell ref="B151:G151"/>
    <mergeCell ref="L151:P151"/>
    <mergeCell ref="B152:G152"/>
    <mergeCell ref="L152:P152"/>
    <mergeCell ref="B147:G147"/>
    <mergeCell ref="L147:P147"/>
    <mergeCell ref="B148:G148"/>
    <mergeCell ref="L148:P148"/>
    <mergeCell ref="B149:G149"/>
    <mergeCell ref="L149:P149"/>
    <mergeCell ref="B144:G144"/>
    <mergeCell ref="L144:P144"/>
    <mergeCell ref="B145:G145"/>
    <mergeCell ref="L145:P145"/>
    <mergeCell ref="B146:G146"/>
    <mergeCell ref="L146:P146"/>
    <mergeCell ref="B141:G141"/>
    <mergeCell ref="L141:P141"/>
    <mergeCell ref="B142:G142"/>
    <mergeCell ref="L142:P142"/>
    <mergeCell ref="B143:G143"/>
    <mergeCell ref="L143:P143"/>
    <mergeCell ref="B138:G138"/>
    <mergeCell ref="L138:P138"/>
    <mergeCell ref="B139:G139"/>
    <mergeCell ref="L139:P139"/>
    <mergeCell ref="B140:G140"/>
    <mergeCell ref="L140:P140"/>
    <mergeCell ref="B134:G134"/>
    <mergeCell ref="L134:P134"/>
    <mergeCell ref="B135:G135"/>
    <mergeCell ref="L135:P135"/>
    <mergeCell ref="B137:G137"/>
    <mergeCell ref="L137:P137"/>
    <mergeCell ref="B130:G130"/>
    <mergeCell ref="L130:P130"/>
    <mergeCell ref="B131:G131"/>
    <mergeCell ref="L131:P131"/>
    <mergeCell ref="B133:G133"/>
    <mergeCell ref="L133:P133"/>
    <mergeCell ref="B126:G126"/>
    <mergeCell ref="L126:P126"/>
    <mergeCell ref="B127:G127"/>
    <mergeCell ref="L127:P127"/>
    <mergeCell ref="B128:G128"/>
    <mergeCell ref="L128:P128"/>
    <mergeCell ref="B122:G122"/>
    <mergeCell ref="L122:P122"/>
    <mergeCell ref="B123:G123"/>
    <mergeCell ref="L123:P123"/>
    <mergeCell ref="B124:G124"/>
    <mergeCell ref="L124:P124"/>
    <mergeCell ref="B119:G119"/>
    <mergeCell ref="L119:P119"/>
    <mergeCell ref="B120:G120"/>
    <mergeCell ref="L120:P120"/>
    <mergeCell ref="B121:G121"/>
    <mergeCell ref="L121:P121"/>
    <mergeCell ref="B114:G114"/>
    <mergeCell ref="L114:P114"/>
    <mergeCell ref="B115:G115"/>
    <mergeCell ref="L115:P115"/>
    <mergeCell ref="B116:G116"/>
    <mergeCell ref="L116:P116"/>
    <mergeCell ref="B111:G111"/>
    <mergeCell ref="L111:P111"/>
    <mergeCell ref="B112:G112"/>
    <mergeCell ref="L112:P112"/>
    <mergeCell ref="B113:G113"/>
    <mergeCell ref="L113:P113"/>
    <mergeCell ref="B107:G107"/>
    <mergeCell ref="L107:P107"/>
    <mergeCell ref="B108:G108"/>
    <mergeCell ref="L108:P108"/>
    <mergeCell ref="B109:G109"/>
    <mergeCell ref="L109:P109"/>
    <mergeCell ref="B104:G104"/>
    <mergeCell ref="L104:P104"/>
    <mergeCell ref="B105:G105"/>
    <mergeCell ref="L105:P105"/>
    <mergeCell ref="B106:G106"/>
    <mergeCell ref="L106:P106"/>
    <mergeCell ref="B101:G101"/>
    <mergeCell ref="L101:P101"/>
    <mergeCell ref="B102:G102"/>
    <mergeCell ref="L102:P102"/>
    <mergeCell ref="B103:G103"/>
    <mergeCell ref="L103:P103"/>
    <mergeCell ref="B98:G98"/>
    <mergeCell ref="L98:P98"/>
    <mergeCell ref="B99:G99"/>
    <mergeCell ref="L99:P99"/>
    <mergeCell ref="B100:G100"/>
    <mergeCell ref="L100:P100"/>
    <mergeCell ref="B95:G95"/>
    <mergeCell ref="L95:P95"/>
    <mergeCell ref="B96:G96"/>
    <mergeCell ref="L96:P96"/>
    <mergeCell ref="B97:G97"/>
    <mergeCell ref="L97:P97"/>
    <mergeCell ref="B92:G92"/>
    <mergeCell ref="L92:P92"/>
    <mergeCell ref="B93:G93"/>
    <mergeCell ref="L93:P93"/>
    <mergeCell ref="B94:G94"/>
    <mergeCell ref="L94:P94"/>
    <mergeCell ref="B89:G89"/>
    <mergeCell ref="L89:P89"/>
    <mergeCell ref="B90:G90"/>
    <mergeCell ref="L90:P90"/>
    <mergeCell ref="B91:G91"/>
    <mergeCell ref="L91:P91"/>
    <mergeCell ref="B85:G85"/>
    <mergeCell ref="L85:P85"/>
    <mergeCell ref="B86:G86"/>
    <mergeCell ref="L86:P86"/>
    <mergeCell ref="B87:G87"/>
    <mergeCell ref="L87:P87"/>
    <mergeCell ref="B82:G82"/>
    <mergeCell ref="L82:P82"/>
    <mergeCell ref="B83:G83"/>
    <mergeCell ref="L83:P83"/>
    <mergeCell ref="B84:G84"/>
    <mergeCell ref="L84:P84"/>
    <mergeCell ref="B78:G78"/>
    <mergeCell ref="L78:P78"/>
    <mergeCell ref="B80:G80"/>
    <mergeCell ref="L80:P80"/>
    <mergeCell ref="B81:G81"/>
    <mergeCell ref="L81:P81"/>
    <mergeCell ref="B75:G75"/>
    <mergeCell ref="L75:P75"/>
    <mergeCell ref="B76:G76"/>
    <mergeCell ref="L76:P76"/>
    <mergeCell ref="B77:G77"/>
    <mergeCell ref="L77:P77"/>
    <mergeCell ref="B72:G72"/>
    <mergeCell ref="L72:P72"/>
    <mergeCell ref="B73:G73"/>
    <mergeCell ref="L73:P73"/>
    <mergeCell ref="B74:G74"/>
    <mergeCell ref="L74:P74"/>
    <mergeCell ref="B69:G69"/>
    <mergeCell ref="L69:P69"/>
    <mergeCell ref="B70:G70"/>
    <mergeCell ref="L70:P70"/>
    <mergeCell ref="B71:G71"/>
    <mergeCell ref="L71:P71"/>
    <mergeCell ref="B65:G65"/>
    <mergeCell ref="L65:P65"/>
    <mergeCell ref="B66:G66"/>
    <mergeCell ref="L66:P66"/>
    <mergeCell ref="B68:G68"/>
    <mergeCell ref="L68:P68"/>
    <mergeCell ref="B62:G62"/>
    <mergeCell ref="L62:P62"/>
    <mergeCell ref="B63:G63"/>
    <mergeCell ref="L63:P63"/>
    <mergeCell ref="B64:G64"/>
    <mergeCell ref="L64:P64"/>
    <mergeCell ref="B59:G59"/>
    <mergeCell ref="L59:P59"/>
    <mergeCell ref="B60:G60"/>
    <mergeCell ref="L60:P60"/>
    <mergeCell ref="B61:G61"/>
    <mergeCell ref="L61:P61"/>
    <mergeCell ref="B55:G55"/>
    <mergeCell ref="L55:P55"/>
    <mergeCell ref="B56:G56"/>
    <mergeCell ref="L56:P56"/>
    <mergeCell ref="B57:G57"/>
    <mergeCell ref="L57:P57"/>
    <mergeCell ref="B52:G52"/>
    <mergeCell ref="L52:P52"/>
    <mergeCell ref="B53:G53"/>
    <mergeCell ref="L53:P53"/>
    <mergeCell ref="B54:G54"/>
    <mergeCell ref="L54:P54"/>
    <mergeCell ref="B47:G47"/>
    <mergeCell ref="L47:P47"/>
    <mergeCell ref="B48:G48"/>
    <mergeCell ref="B50:G50"/>
    <mergeCell ref="L50:P50"/>
    <mergeCell ref="B51:G51"/>
    <mergeCell ref="L51:P51"/>
    <mergeCell ref="B44:G44"/>
    <mergeCell ref="L44:P44"/>
    <mergeCell ref="B45:G45"/>
    <mergeCell ref="L45:P45"/>
    <mergeCell ref="B46:G46"/>
    <mergeCell ref="L46:P46"/>
    <mergeCell ref="B41:G41"/>
    <mergeCell ref="L41:P41"/>
    <mergeCell ref="B42:G42"/>
    <mergeCell ref="L42:P42"/>
    <mergeCell ref="B43:G43"/>
    <mergeCell ref="L43:P43"/>
    <mergeCell ref="B38:G38"/>
    <mergeCell ref="L38:P38"/>
    <mergeCell ref="B39:G39"/>
    <mergeCell ref="L39:P39"/>
    <mergeCell ref="B40:G40"/>
    <mergeCell ref="L40:P40"/>
    <mergeCell ref="B35:G35"/>
    <mergeCell ref="L35:P35"/>
    <mergeCell ref="B36:G36"/>
    <mergeCell ref="L36:P36"/>
    <mergeCell ref="B37:G37"/>
    <mergeCell ref="L37:P37"/>
    <mergeCell ref="B32:G32"/>
    <mergeCell ref="L32:P32"/>
    <mergeCell ref="B33:G33"/>
    <mergeCell ref="L33:P33"/>
    <mergeCell ref="B34:G34"/>
    <mergeCell ref="L34:P34"/>
    <mergeCell ref="B28:G28"/>
    <mergeCell ref="L28:P28"/>
    <mergeCell ref="B29:G29"/>
    <mergeCell ref="L29:P29"/>
    <mergeCell ref="B30:G30"/>
    <mergeCell ref="L30:P30"/>
    <mergeCell ref="B25:G25"/>
    <mergeCell ref="L25:P25"/>
    <mergeCell ref="B26:G26"/>
    <mergeCell ref="L26:P26"/>
    <mergeCell ref="B27:G27"/>
    <mergeCell ref="L27:P27"/>
    <mergeCell ref="B22:G22"/>
    <mergeCell ref="L22:P22"/>
    <mergeCell ref="B23:G23"/>
    <mergeCell ref="L23:P23"/>
    <mergeCell ref="B24:G24"/>
    <mergeCell ref="L24:P24"/>
    <mergeCell ref="B19:G19"/>
    <mergeCell ref="L19:P19"/>
    <mergeCell ref="B20:G20"/>
    <mergeCell ref="L20:P20"/>
    <mergeCell ref="B21:G21"/>
    <mergeCell ref="L21:P21"/>
    <mergeCell ref="B17:G17"/>
    <mergeCell ref="L17:P17"/>
    <mergeCell ref="B18:G18"/>
    <mergeCell ref="L18:P18"/>
    <mergeCell ref="B12:G12"/>
    <mergeCell ref="L12:P12"/>
    <mergeCell ref="B14:G14"/>
    <mergeCell ref="L14:P14"/>
    <mergeCell ref="B15:G15"/>
    <mergeCell ref="L15:P15"/>
    <mergeCell ref="A1:P1"/>
    <mergeCell ref="R2:R3"/>
    <mergeCell ref="B3:G3"/>
    <mergeCell ref="L3:P3"/>
    <mergeCell ref="B5:G5"/>
    <mergeCell ref="L5:P5"/>
    <mergeCell ref="B202:G202"/>
    <mergeCell ref="L202:P202"/>
    <mergeCell ref="B203:G203"/>
    <mergeCell ref="L203:P203"/>
    <mergeCell ref="B9:G9"/>
    <mergeCell ref="L9:P9"/>
    <mergeCell ref="B10:G10"/>
    <mergeCell ref="L10:P10"/>
    <mergeCell ref="B11:G11"/>
    <mergeCell ref="L11:P11"/>
    <mergeCell ref="B6:G6"/>
    <mergeCell ref="L6:P6"/>
    <mergeCell ref="B7:G7"/>
    <mergeCell ref="L7:P7"/>
    <mergeCell ref="B8:G8"/>
    <mergeCell ref="L8:P8"/>
    <mergeCell ref="B16:G16"/>
    <mergeCell ref="L16:P16"/>
  </mergeCells>
  <hyperlinks>
    <hyperlink ref="B199" r:id="rId1"/>
    <hyperlink ref="B200" r:id="rId2"/>
  </hyperlinks>
  <pageMargins left="0.78740157480314965" right="0.39370078740157483" top="0.59055118110236227" bottom="0.59055118110236227" header="0.31496062992125984" footer="0.31496062992125984"/>
  <pageSetup paperSize="9" orientation="landscape" verticalDpi="1200" r:id="rId3"/>
  <rowBreaks count="1" manualBreakCount="1">
    <brk id="11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32"/>
  <sheetViews>
    <sheetView view="pageBreakPreview" topLeftCell="A19" zoomScaleSheetLayoutView="100" zoomScalePageLayoutView="120" workbookViewId="0">
      <selection activeCell="E43" sqref="E43"/>
    </sheetView>
  </sheetViews>
  <sheetFormatPr baseColWidth="10" defaultColWidth="11.42578125" defaultRowHeight="12.75"/>
  <cols>
    <col min="1" max="1" width="8.5703125" style="34" customWidth="1"/>
    <col min="2" max="2" width="31.7109375" style="34" customWidth="1"/>
    <col min="3" max="4" width="11.28515625" style="34" customWidth="1"/>
    <col min="5" max="5" width="11.28515625" style="51" customWidth="1"/>
    <col min="6" max="7" width="11.28515625" style="34" customWidth="1"/>
    <col min="8" max="16384" width="11.42578125" style="34"/>
  </cols>
  <sheetData>
    <row r="1" spans="1:7" ht="14.1" customHeight="1">
      <c r="A1" s="31"/>
      <c r="B1" s="31"/>
      <c r="C1" s="31"/>
      <c r="D1" s="31"/>
      <c r="E1" s="32"/>
      <c r="F1" s="31"/>
      <c r="G1" s="33"/>
    </row>
    <row r="2" spans="1:7" ht="14.1" customHeight="1">
      <c r="A2" s="31"/>
      <c r="B2" s="31"/>
      <c r="C2" s="31"/>
      <c r="D2" s="31"/>
      <c r="E2" s="32"/>
      <c r="F2" s="31"/>
      <c r="G2" s="33"/>
    </row>
    <row r="3" spans="1:7" ht="14.1" customHeight="1">
      <c r="A3" s="31"/>
      <c r="B3" s="31"/>
      <c r="C3" s="31"/>
      <c r="D3" s="31"/>
      <c r="E3" s="32"/>
      <c r="F3" s="31"/>
      <c r="G3" s="33"/>
    </row>
    <row r="4" spans="1:7" ht="14.1" customHeight="1">
      <c r="A4" s="31"/>
      <c r="B4" s="31"/>
      <c r="C4" s="31"/>
      <c r="D4" s="31"/>
      <c r="E4" s="32"/>
      <c r="F4" s="31"/>
      <c r="G4" s="33"/>
    </row>
    <row r="5" spans="1:7" ht="14.1" customHeight="1">
      <c r="A5" s="31"/>
      <c r="B5" s="31"/>
      <c r="C5" s="31"/>
      <c r="D5" s="31"/>
      <c r="E5" s="32"/>
      <c r="F5" s="31"/>
      <c r="G5" s="33"/>
    </row>
    <row r="6" spans="1:7" ht="14.1" customHeight="1">
      <c r="A6" s="31"/>
      <c r="B6" s="31"/>
      <c r="C6" s="31"/>
      <c r="D6" s="31"/>
      <c r="E6" s="32"/>
      <c r="F6" s="31"/>
      <c r="G6" s="33"/>
    </row>
    <row r="7" spans="1:7" s="3" customFormat="1" ht="9.9499999999999993" customHeight="1">
      <c r="A7" s="24"/>
      <c r="B7" s="25"/>
      <c r="C7" s="25"/>
      <c r="D7" s="25"/>
      <c r="E7" s="25"/>
      <c r="F7" s="25"/>
      <c r="G7" s="143"/>
    </row>
    <row r="8" spans="1:7" s="3" customFormat="1" ht="14.1" customHeight="1">
      <c r="A8" s="26" t="s">
        <v>161</v>
      </c>
      <c r="B8" s="23"/>
      <c r="C8" s="23"/>
      <c r="D8" s="23"/>
      <c r="E8" s="7" t="s">
        <v>160</v>
      </c>
      <c r="F8" s="22" t="s">
        <v>1246</v>
      </c>
      <c r="G8" s="144"/>
    </row>
    <row r="9" spans="1:7" s="3" customFormat="1" ht="9.9499999999999993" customHeight="1">
      <c r="A9" s="27"/>
      <c r="B9" s="9"/>
      <c r="C9" s="9"/>
      <c r="D9" s="9"/>
      <c r="E9" s="9"/>
      <c r="F9" s="9"/>
      <c r="G9" s="144"/>
    </row>
    <row r="10" spans="1:7" s="3" customFormat="1" ht="14.1" customHeight="1">
      <c r="A10" s="26" t="s">
        <v>321</v>
      </c>
      <c r="B10" s="6"/>
      <c r="C10" s="6"/>
      <c r="D10" s="6"/>
      <c r="E10" s="6"/>
      <c r="F10" s="6"/>
      <c r="G10" s="144"/>
    </row>
    <row r="11" spans="1:7" s="3" customFormat="1" ht="9.9499999999999993" customHeight="1">
      <c r="A11" s="27"/>
      <c r="B11" s="9"/>
      <c r="C11" s="9"/>
      <c r="D11" s="9"/>
      <c r="E11" s="9"/>
      <c r="F11" s="9"/>
      <c r="G11" s="144"/>
    </row>
    <row r="12" spans="1:7" s="3" customFormat="1" ht="14.1" customHeight="1">
      <c r="A12" s="26" t="s">
        <v>162</v>
      </c>
      <c r="B12" s="6"/>
      <c r="C12" s="6"/>
      <c r="D12" s="6"/>
      <c r="E12" s="6"/>
      <c r="F12" s="6"/>
      <c r="G12" s="144"/>
    </row>
    <row r="13" spans="1:7" s="3" customFormat="1" ht="9.9499999999999993" customHeight="1">
      <c r="A13" s="28"/>
      <c r="B13" s="10"/>
      <c r="C13" s="10"/>
      <c r="D13" s="10"/>
      <c r="E13" s="10"/>
      <c r="F13" s="10"/>
      <c r="G13" s="145"/>
    </row>
    <row r="14" spans="1:7" s="3" customFormat="1" ht="14.1" customHeight="1">
      <c r="A14" s="7"/>
      <c r="B14" s="6"/>
      <c r="C14" s="6"/>
      <c r="D14" s="6"/>
      <c r="E14" s="7"/>
      <c r="F14" s="8"/>
      <c r="G14" s="1"/>
    </row>
    <row r="15" spans="1:7" s="3" customFormat="1" ht="14.1" customHeight="1">
      <c r="A15" s="612" t="s">
        <v>163</v>
      </c>
      <c r="B15" s="612"/>
      <c r="C15" s="612"/>
      <c r="D15" s="612"/>
      <c r="E15" s="612"/>
      <c r="F15" s="612"/>
      <c r="G15" s="612"/>
    </row>
    <row r="16" spans="1:7" s="3" customFormat="1" ht="14.1" customHeight="1">
      <c r="A16" s="5"/>
      <c r="B16" s="5"/>
      <c r="C16" s="5"/>
      <c r="D16" s="5"/>
      <c r="E16" s="9"/>
      <c r="F16" s="9"/>
      <c r="G16" s="1"/>
    </row>
    <row r="17" spans="1:7" ht="14.1" customHeight="1">
      <c r="A17" s="36"/>
      <c r="B17" s="36"/>
      <c r="C17" s="36"/>
      <c r="D17" s="36"/>
      <c r="E17" s="36"/>
      <c r="F17" s="36"/>
      <c r="G17" s="36"/>
    </row>
    <row r="18" spans="1:7" ht="18" customHeight="1">
      <c r="A18" s="39"/>
      <c r="B18" s="40"/>
      <c r="C18" s="41"/>
      <c r="D18" s="42"/>
      <c r="E18" s="43"/>
      <c r="F18" s="44"/>
      <c r="G18" s="31"/>
    </row>
    <row r="19" spans="1:7" ht="26.1" customHeight="1">
      <c r="A19" s="39"/>
      <c r="B19" s="186" t="s">
        <v>283</v>
      </c>
      <c r="C19" s="187"/>
      <c r="D19" s="188"/>
      <c r="E19" s="189" t="s">
        <v>276</v>
      </c>
      <c r="F19" s="449">
        <v>1</v>
      </c>
      <c r="G19" s="33"/>
    </row>
    <row r="20" spans="1:7" ht="26.1" customHeight="1">
      <c r="A20" s="39"/>
      <c r="B20" s="186" t="s">
        <v>278</v>
      </c>
      <c r="C20" s="190">
        <f>GG!F27</f>
        <v>0.1138</v>
      </c>
      <c r="D20" s="191" t="s">
        <v>312</v>
      </c>
      <c r="E20" s="189" t="s">
        <v>277</v>
      </c>
      <c r="F20" s="449">
        <f>ROUND(C20*F19, 3)</f>
        <v>0.114</v>
      </c>
      <c r="G20" s="33"/>
    </row>
    <row r="21" spans="1:7" ht="26.1" customHeight="1">
      <c r="A21" s="39"/>
      <c r="B21" s="186" t="s">
        <v>280</v>
      </c>
      <c r="C21" s="190">
        <f>GG!B34</f>
        <v>0.1</v>
      </c>
      <c r="D21" s="191" t="s">
        <v>313</v>
      </c>
      <c r="E21" s="189" t="s">
        <v>279</v>
      </c>
      <c r="F21" s="449">
        <f>ROUND((F19+F20)*C21, 3)</f>
        <v>0.111</v>
      </c>
      <c r="G21" s="33"/>
    </row>
    <row r="22" spans="1:7" ht="26.1" customHeight="1">
      <c r="A22" s="39"/>
      <c r="B22" s="186" t="s">
        <v>282</v>
      </c>
      <c r="C22" s="190">
        <f>GG!B35</f>
        <v>0.21</v>
      </c>
      <c r="D22" s="191" t="s">
        <v>314</v>
      </c>
      <c r="E22" s="189" t="s">
        <v>285</v>
      </c>
      <c r="F22" s="449">
        <f>ROUND((F19+F20+F21)*C22, 3)</f>
        <v>0.25700000000000001</v>
      </c>
      <c r="G22" s="33"/>
    </row>
    <row r="23" spans="1:7" ht="26.1" customHeight="1">
      <c r="A23" s="39"/>
      <c r="B23" s="611" t="s">
        <v>284</v>
      </c>
      <c r="C23" s="611"/>
      <c r="D23" s="611"/>
      <c r="E23" s="189" t="s">
        <v>281</v>
      </c>
      <c r="F23" s="450">
        <f>SUM(F19:F22)</f>
        <v>1.4820000000000002</v>
      </c>
      <c r="G23" s="33"/>
    </row>
    <row r="24" spans="1:7" ht="18" customHeight="1">
      <c r="A24" s="39"/>
      <c r="B24" s="153"/>
      <c r="C24" s="152"/>
      <c r="D24" s="147"/>
      <c r="E24" s="149"/>
      <c r="F24" s="149"/>
      <c r="G24" s="33"/>
    </row>
    <row r="25" spans="1:7" ht="15">
      <c r="A25" s="35"/>
      <c r="B25" s="146"/>
      <c r="C25" s="150"/>
      <c r="D25" s="151"/>
      <c r="E25" s="148"/>
      <c r="F25" s="154"/>
    </row>
    <row r="26" spans="1:7" ht="15">
      <c r="A26" s="35"/>
      <c r="B26" s="146"/>
      <c r="C26" s="150"/>
      <c r="D26" s="151"/>
      <c r="E26" s="148"/>
      <c r="F26" s="154"/>
    </row>
    <row r="27" spans="1:7" ht="15">
      <c r="A27" s="35"/>
      <c r="B27" s="146"/>
      <c r="C27" s="150"/>
      <c r="D27" s="151"/>
      <c r="E27" s="148"/>
      <c r="F27" s="154"/>
    </row>
    <row r="28" spans="1:7">
      <c r="A28" s="45"/>
      <c r="B28" s="45"/>
      <c r="C28" s="45"/>
      <c r="D28" s="45"/>
      <c r="E28" s="46"/>
      <c r="F28" s="45"/>
    </row>
    <row r="29" spans="1:7">
      <c r="A29" s="47"/>
      <c r="B29" s="47"/>
      <c r="C29" s="47"/>
      <c r="D29" s="47"/>
      <c r="E29" s="48"/>
      <c r="F29" s="47"/>
    </row>
    <row r="30" spans="1:7">
      <c r="A30" s="47"/>
      <c r="B30" s="49" t="s">
        <v>165</v>
      </c>
      <c r="C30" s="50"/>
      <c r="D30" s="50"/>
      <c r="E30" s="49" t="s">
        <v>166</v>
      </c>
      <c r="F30" s="47"/>
    </row>
    <row r="31" spans="1:7">
      <c r="A31" s="47"/>
      <c r="B31" s="49" t="s">
        <v>167</v>
      </c>
      <c r="C31" s="50"/>
      <c r="D31" s="50"/>
      <c r="E31" s="49" t="s">
        <v>168</v>
      </c>
      <c r="F31" s="47"/>
    </row>
    <row r="32" spans="1:7">
      <c r="A32" s="47"/>
      <c r="B32" s="49" t="s">
        <v>169</v>
      </c>
      <c r="C32" s="50"/>
      <c r="D32" s="50"/>
      <c r="E32" s="49" t="s">
        <v>170</v>
      </c>
      <c r="F32" s="47"/>
    </row>
  </sheetData>
  <mergeCells count="2">
    <mergeCell ref="B23:D23"/>
    <mergeCell ref="A15:G15"/>
  </mergeCells>
  <printOptions horizontalCentered="1"/>
  <pageMargins left="0.78740157480314965" right="0.39370078740157483" top="0.59055118110236227" bottom="0.39370078740157483" header="0" footer="0"/>
  <pageSetup paperSize="9" scale="95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2976"/>
  <sheetViews>
    <sheetView view="pageBreakPreview" topLeftCell="A2958" zoomScaleSheetLayoutView="100" zoomScalePageLayoutView="50" workbookViewId="0">
      <selection activeCell="B2971" sqref="B2971"/>
    </sheetView>
  </sheetViews>
  <sheetFormatPr baseColWidth="10" defaultColWidth="11.42578125" defaultRowHeight="12.75"/>
  <cols>
    <col min="1" max="1" width="9.42578125" style="485" customWidth="1"/>
    <col min="2" max="2" width="31.7109375" style="3" customWidth="1"/>
    <col min="3" max="4" width="10.140625" style="346" customWidth="1"/>
    <col min="5" max="5" width="13.7109375" style="346" customWidth="1"/>
    <col min="6" max="6" width="16.7109375" style="346" customWidth="1"/>
    <col min="7" max="7" width="2.7109375" style="3" customWidth="1"/>
    <col min="8" max="16384" width="11.42578125" style="3"/>
  </cols>
  <sheetData>
    <row r="1" spans="1:7" ht="14.1" customHeight="1">
      <c r="A1" s="471"/>
      <c r="B1" s="2"/>
      <c r="C1" s="329"/>
      <c r="D1" s="329"/>
      <c r="E1" s="329"/>
      <c r="F1" s="329"/>
      <c r="G1" s="1"/>
    </row>
    <row r="2" spans="1:7" ht="14.1" customHeight="1">
      <c r="A2" s="471"/>
      <c r="B2" s="2"/>
      <c r="C2" s="329"/>
      <c r="D2" s="329"/>
      <c r="E2" s="329"/>
      <c r="F2" s="329"/>
      <c r="G2" s="1"/>
    </row>
    <row r="3" spans="1:7" ht="14.1" customHeight="1">
      <c r="A3" s="471"/>
      <c r="B3" s="2"/>
      <c r="C3" s="329"/>
      <c r="D3" s="329"/>
      <c r="E3" s="329"/>
      <c r="F3" s="329"/>
      <c r="G3" s="1"/>
    </row>
    <row r="4" spans="1:7" ht="14.1" customHeight="1">
      <c r="A4" s="471"/>
      <c r="B4" s="2"/>
      <c r="C4" s="329"/>
      <c r="D4" s="329"/>
      <c r="E4" s="329"/>
      <c r="F4" s="329"/>
      <c r="G4" s="1"/>
    </row>
    <row r="5" spans="1:7" ht="14.1" customHeight="1">
      <c r="A5" s="471"/>
      <c r="B5" s="2"/>
      <c r="C5" s="329"/>
      <c r="D5" s="329"/>
      <c r="E5" s="329"/>
      <c r="F5" s="329"/>
      <c r="G5" s="1"/>
    </row>
    <row r="6" spans="1:7" ht="14.1" customHeight="1">
      <c r="A6" s="471"/>
      <c r="B6" s="2"/>
      <c r="C6" s="329"/>
      <c r="D6" s="329"/>
      <c r="E6" s="329"/>
      <c r="F6" s="329"/>
      <c r="G6" s="1"/>
    </row>
    <row r="7" spans="1:7" ht="9.9499999999999993" customHeight="1">
      <c r="A7" s="472"/>
      <c r="B7" s="25"/>
      <c r="C7" s="326"/>
      <c r="D7" s="326"/>
      <c r="E7" s="326"/>
      <c r="F7" s="371"/>
      <c r="G7" s="1"/>
    </row>
    <row r="8" spans="1:7" ht="14.1" customHeight="1">
      <c r="A8" s="473" t="str">
        <f>'Coef. resumen'!A8</f>
        <v>LICITACIÓN PÚBLICA Nº 41/13</v>
      </c>
      <c r="B8" s="23"/>
      <c r="C8" s="364"/>
      <c r="D8" s="364"/>
      <c r="E8" s="7" t="str">
        <f>'Coef. resumen'!E8</f>
        <v>A FECHA:</v>
      </c>
      <c r="F8" s="427" t="str">
        <f>'Coef. resumen'!F8</f>
        <v>Octubre 2013</v>
      </c>
      <c r="G8" s="1"/>
    </row>
    <row r="9" spans="1:7" ht="9.9499999999999993" customHeight="1">
      <c r="A9" s="473"/>
      <c r="B9" s="9"/>
      <c r="C9" s="365"/>
      <c r="D9" s="365"/>
      <c r="E9" s="365"/>
      <c r="F9" s="372"/>
      <c r="G9" s="1"/>
    </row>
    <row r="10" spans="1:7" ht="14.1" customHeight="1">
      <c r="A10" s="473" t="str">
        <f>'Coef. resumen'!A10</f>
        <v>OBRA: Urbanizacion Valle Chico 1ª etapa: Obras de Infraestructura Pública y Nexos</v>
      </c>
      <c r="B10" s="6"/>
      <c r="C10" s="366"/>
      <c r="D10" s="366"/>
      <c r="E10" s="366"/>
      <c r="F10" s="373"/>
      <c r="G10" s="1"/>
    </row>
    <row r="11" spans="1:7" ht="9.9499999999999993" customHeight="1">
      <c r="A11" s="473"/>
      <c r="B11" s="9"/>
      <c r="C11" s="365"/>
      <c r="D11" s="365"/>
      <c r="E11" s="365"/>
      <c r="F11" s="372"/>
      <c r="G11" s="1"/>
    </row>
    <row r="12" spans="1:7" ht="14.1" customHeight="1">
      <c r="A12" s="473" t="str">
        <f>'Coef. resumen'!A12</f>
        <v>LOCALIDAD: Esquel</v>
      </c>
      <c r="B12" s="6"/>
      <c r="C12" s="366"/>
      <c r="D12" s="366"/>
      <c r="E12" s="366"/>
      <c r="F12" s="373"/>
      <c r="G12" s="1"/>
    </row>
    <row r="13" spans="1:7" ht="9.9499999999999993" customHeight="1">
      <c r="A13" s="474"/>
      <c r="B13" s="10"/>
      <c r="C13" s="327"/>
      <c r="D13" s="327"/>
      <c r="E13" s="327"/>
      <c r="F13" s="374"/>
      <c r="G13" s="1"/>
    </row>
    <row r="14" spans="1:7" ht="14.1" customHeight="1">
      <c r="A14" s="475"/>
      <c r="B14" s="6"/>
      <c r="C14" s="366"/>
      <c r="D14" s="366"/>
      <c r="E14" s="366"/>
      <c r="F14" s="8"/>
      <c r="G14" s="1"/>
    </row>
    <row r="15" spans="1:7" ht="14.1" customHeight="1">
      <c r="A15" s="612" t="s">
        <v>141</v>
      </c>
      <c r="B15" s="612"/>
      <c r="C15" s="612"/>
      <c r="D15" s="612"/>
      <c r="E15" s="612"/>
      <c r="F15" s="612"/>
      <c r="G15" s="1"/>
    </row>
    <row r="16" spans="1:7" ht="14.1" customHeight="1">
      <c r="A16" s="476"/>
      <c r="B16" s="5"/>
      <c r="C16" s="367"/>
      <c r="D16" s="367"/>
      <c r="E16" s="365"/>
      <c r="F16" s="365"/>
      <c r="G16" s="1"/>
    </row>
    <row r="17" spans="1:7" ht="14.1" customHeight="1">
      <c r="A17" s="477" t="s">
        <v>142</v>
      </c>
      <c r="B17" s="613" t="str">
        <f>Presupuesto!B20</f>
        <v>Excavación de zanja en terreno de cualquier categoría y Tapado y compactación</v>
      </c>
      <c r="C17" s="614"/>
      <c r="D17" s="615"/>
      <c r="E17" s="367" t="s">
        <v>143</v>
      </c>
      <c r="F17" s="30" t="str">
        <f>Presupuesto!C20</f>
        <v>m3</v>
      </c>
      <c r="G17" s="1"/>
    </row>
    <row r="18" spans="1:7" ht="14.1" customHeight="1">
      <c r="A18" s="622" t="str">
        <f>Presupuesto!A20</f>
        <v>1.1.1</v>
      </c>
      <c r="B18" s="616"/>
      <c r="C18" s="617"/>
      <c r="D18" s="618"/>
      <c r="E18" s="367"/>
      <c r="F18" s="367"/>
      <c r="G18" s="1"/>
    </row>
    <row r="19" spans="1:7" ht="14.1" customHeight="1">
      <c r="A19" s="622"/>
      <c r="B19" s="616"/>
      <c r="C19" s="617"/>
      <c r="D19" s="618"/>
      <c r="E19" s="367"/>
      <c r="F19" s="367"/>
      <c r="G19" s="1"/>
    </row>
    <row r="20" spans="1:7" ht="14.1" customHeight="1">
      <c r="A20" s="623"/>
      <c r="B20" s="619"/>
      <c r="C20" s="620"/>
      <c r="D20" s="621"/>
      <c r="E20" s="367"/>
      <c r="F20" s="367"/>
      <c r="G20" s="1"/>
    </row>
    <row r="21" spans="1:7" ht="14.1" customHeight="1">
      <c r="A21" s="478"/>
      <c r="B21" s="29"/>
      <c r="C21" s="368"/>
      <c r="D21" s="368"/>
      <c r="E21" s="365"/>
      <c r="F21" s="365"/>
      <c r="G21" s="1"/>
    </row>
    <row r="22" spans="1:7" ht="14.1" customHeight="1">
      <c r="A22" s="624" t="s">
        <v>144</v>
      </c>
      <c r="B22" s="624"/>
      <c r="C22" s="624"/>
      <c r="D22" s="624"/>
      <c r="E22" s="624"/>
      <c r="F22" s="624"/>
      <c r="G22" s="1"/>
    </row>
    <row r="23" spans="1:7" ht="14.1" customHeight="1">
      <c r="A23" s="479"/>
      <c r="B23" s="10"/>
      <c r="C23" s="327"/>
      <c r="D23" s="327"/>
      <c r="E23" s="327"/>
      <c r="F23" s="327"/>
      <c r="G23" s="1"/>
    </row>
    <row r="24" spans="1:7" ht="15.95" customHeight="1">
      <c r="A24" s="480" t="s">
        <v>145</v>
      </c>
      <c r="B24" s="11" t="s">
        <v>146</v>
      </c>
      <c r="C24" s="11" t="s">
        <v>147</v>
      </c>
      <c r="D24" s="11" t="s">
        <v>148</v>
      </c>
      <c r="E24" s="12" t="s">
        <v>149</v>
      </c>
      <c r="F24" s="11" t="s">
        <v>150</v>
      </c>
      <c r="G24" s="1"/>
    </row>
    <row r="25" spans="1:7" ht="14.1" customHeight="1">
      <c r="A25" s="480">
        <v>1</v>
      </c>
      <c r="B25" s="220" t="s">
        <v>322</v>
      </c>
      <c r="C25" s="221" t="s">
        <v>11</v>
      </c>
      <c r="D25" s="221">
        <v>1</v>
      </c>
      <c r="E25" s="18">
        <v>5</v>
      </c>
      <c r="F25" s="375">
        <f>ROUND(D25*E25, 2)</f>
        <v>5</v>
      </c>
      <c r="G25" s="1"/>
    </row>
    <row r="26" spans="1:7" ht="14.1" customHeight="1">
      <c r="A26" s="480">
        <v>2</v>
      </c>
      <c r="B26" s="222" t="s">
        <v>323</v>
      </c>
      <c r="C26" s="223" t="s">
        <v>329</v>
      </c>
      <c r="D26" s="224">
        <v>1.2</v>
      </c>
      <c r="E26" s="18">
        <f>'MAT 31-10-2013'!R$80</f>
        <v>6.75</v>
      </c>
      <c r="F26" s="375">
        <f t="shared" ref="F26:F36" si="0">ROUND(D26*E26, 2)</f>
        <v>8.1</v>
      </c>
      <c r="G26" s="1"/>
    </row>
    <row r="27" spans="1:7" ht="14.1" customHeight="1">
      <c r="A27" s="480">
        <v>3</v>
      </c>
      <c r="B27" s="220" t="s">
        <v>328</v>
      </c>
      <c r="C27" s="224" t="s">
        <v>53</v>
      </c>
      <c r="D27" s="224">
        <f>0.2*0.3*1</f>
        <v>0.06</v>
      </c>
      <c r="E27" s="18">
        <f>'MAT 31-10-2013'!R$5</f>
        <v>39.059027777777771</v>
      </c>
      <c r="F27" s="375">
        <f t="shared" si="0"/>
        <v>2.34</v>
      </c>
      <c r="G27" s="1"/>
    </row>
    <row r="28" spans="1:7" ht="14.1" customHeight="1">
      <c r="A28" s="480">
        <v>4</v>
      </c>
      <c r="B28" s="220" t="s">
        <v>324</v>
      </c>
      <c r="C28" s="324" t="s">
        <v>325</v>
      </c>
      <c r="D28" s="224">
        <v>0.12</v>
      </c>
      <c r="E28" s="18">
        <f>Equipos!S$21</f>
        <v>236.27157024793388</v>
      </c>
      <c r="F28" s="375">
        <f t="shared" si="0"/>
        <v>28.35</v>
      </c>
      <c r="G28" s="1"/>
    </row>
    <row r="29" spans="1:7" ht="14.1" customHeight="1">
      <c r="A29" s="480">
        <v>5</v>
      </c>
      <c r="B29" s="220" t="s">
        <v>1010</v>
      </c>
      <c r="C29" s="324" t="s">
        <v>325</v>
      </c>
      <c r="D29" s="224">
        <v>0.06</v>
      </c>
      <c r="E29" s="18">
        <f>Equipos!S$20</f>
        <v>132.98876033057851</v>
      </c>
      <c r="F29" s="375">
        <f t="shared" si="0"/>
        <v>7.98</v>
      </c>
      <c r="G29" s="1"/>
    </row>
    <row r="30" spans="1:7" ht="14.1" customHeight="1">
      <c r="A30" s="480">
        <v>6</v>
      </c>
      <c r="B30" s="220" t="s">
        <v>265</v>
      </c>
      <c r="C30" s="324" t="s">
        <v>325</v>
      </c>
      <c r="D30" s="224">
        <v>0.06</v>
      </c>
      <c r="E30" s="18">
        <f>Equipos!S$36</f>
        <v>3.5183305785123968</v>
      </c>
      <c r="F30" s="375">
        <f t="shared" si="0"/>
        <v>0.21</v>
      </c>
      <c r="G30" s="1"/>
    </row>
    <row r="31" spans="1:7" ht="14.1" customHeight="1">
      <c r="A31" s="480">
        <v>7</v>
      </c>
      <c r="B31" s="220" t="s">
        <v>326</v>
      </c>
      <c r="C31" s="324" t="s">
        <v>325</v>
      </c>
      <c r="D31" s="224">
        <v>0.06</v>
      </c>
      <c r="E31" s="18">
        <f>Equipos!S$19</f>
        <v>256.28945454545453</v>
      </c>
      <c r="F31" s="375">
        <f t="shared" si="0"/>
        <v>15.38</v>
      </c>
      <c r="G31" s="1"/>
    </row>
    <row r="32" spans="1:7" ht="14.1" customHeight="1">
      <c r="A32" s="480">
        <v>8</v>
      </c>
      <c r="B32" s="220" t="s">
        <v>327</v>
      </c>
      <c r="C32" s="324" t="s">
        <v>325</v>
      </c>
      <c r="D32" s="224">
        <v>0.02</v>
      </c>
      <c r="E32" s="18">
        <f>Equipos!S$24</f>
        <v>302.32601652892561</v>
      </c>
      <c r="F32" s="375">
        <f t="shared" si="0"/>
        <v>6.05</v>
      </c>
      <c r="G32" s="1"/>
    </row>
    <row r="33" spans="1:7" ht="14.1" customHeight="1">
      <c r="A33" s="480">
        <v>9</v>
      </c>
      <c r="B33" s="220" t="s">
        <v>260</v>
      </c>
      <c r="C33" s="324" t="s">
        <v>325</v>
      </c>
      <c r="D33" s="224">
        <v>0.1</v>
      </c>
      <c r="E33" s="18">
        <f>Equipos!S$32</f>
        <v>8.1039256198347118</v>
      </c>
      <c r="F33" s="375">
        <f t="shared" si="0"/>
        <v>0.81</v>
      </c>
      <c r="G33" s="1"/>
    </row>
    <row r="34" spans="1:7" ht="14.1" customHeight="1">
      <c r="A34" s="480">
        <v>10</v>
      </c>
      <c r="B34" s="13"/>
      <c r="C34" s="11"/>
      <c r="D34" s="14"/>
      <c r="E34" s="18"/>
      <c r="F34" s="375">
        <f t="shared" si="0"/>
        <v>0</v>
      </c>
      <c r="G34" s="1"/>
    </row>
    <row r="35" spans="1:7" ht="14.1" customHeight="1">
      <c r="A35" s="480">
        <v>11</v>
      </c>
      <c r="B35" s="13"/>
      <c r="C35" s="11"/>
      <c r="D35" s="11"/>
      <c r="E35" s="18"/>
      <c r="F35" s="375">
        <f t="shared" si="0"/>
        <v>0</v>
      </c>
      <c r="G35" s="1"/>
    </row>
    <row r="36" spans="1:7" ht="14.1" customHeight="1" thickBot="1">
      <c r="A36" s="480">
        <v>12</v>
      </c>
      <c r="B36" s="13"/>
      <c r="C36" s="11"/>
      <c r="D36" s="11"/>
      <c r="E36" s="18"/>
      <c r="F36" s="375">
        <f t="shared" si="0"/>
        <v>0</v>
      </c>
      <c r="G36" s="1"/>
    </row>
    <row r="37" spans="1:7" ht="14.1" customHeight="1" thickBot="1">
      <c r="A37" s="481"/>
      <c r="B37" s="5"/>
      <c r="C37" s="367"/>
      <c r="D37" s="367"/>
      <c r="E37" s="367" t="s">
        <v>151</v>
      </c>
      <c r="F37" s="376">
        <f>SUM(F25:F36)</f>
        <v>74.22</v>
      </c>
      <c r="G37" s="1"/>
    </row>
    <row r="38" spans="1:7" ht="14.1" customHeight="1">
      <c r="A38" s="482"/>
      <c r="B38" s="15"/>
      <c r="C38" s="328"/>
      <c r="D38" s="328"/>
      <c r="E38" s="328"/>
      <c r="F38" s="328"/>
      <c r="G38" s="1"/>
    </row>
    <row r="39" spans="1:7" ht="14.1" customHeight="1">
      <c r="A39" s="625" t="s">
        <v>152</v>
      </c>
      <c r="B39" s="625"/>
      <c r="C39" s="625"/>
      <c r="D39" s="625"/>
      <c r="E39" s="625"/>
      <c r="F39" s="625"/>
      <c r="G39" s="1"/>
    </row>
    <row r="40" spans="1:7" ht="14.1" customHeight="1">
      <c r="A40" s="482"/>
      <c r="B40" s="15"/>
      <c r="C40" s="328"/>
      <c r="D40" s="328"/>
      <c r="E40" s="328"/>
      <c r="F40" s="367"/>
      <c r="G40" s="1"/>
    </row>
    <row r="41" spans="1:7" ht="14.1" customHeight="1">
      <c r="A41" s="480">
        <v>13</v>
      </c>
      <c r="B41" s="17" t="s">
        <v>153</v>
      </c>
      <c r="C41" s="11" t="s">
        <v>154</v>
      </c>
      <c r="D41" s="14">
        <f>D28+D29+D31+D32</f>
        <v>0.26</v>
      </c>
      <c r="E41" s="18">
        <f>'Mano de obra'!$J$20</f>
        <v>82.610000000000014</v>
      </c>
      <c r="F41" s="375">
        <f>ROUND(D41*E41, 2)</f>
        <v>21.48</v>
      </c>
      <c r="G41" s="1"/>
    </row>
    <row r="42" spans="1:7" ht="14.1" customHeight="1">
      <c r="A42" s="480">
        <v>14</v>
      </c>
      <c r="B42" s="17" t="s">
        <v>155</v>
      </c>
      <c r="C42" s="11" t="s">
        <v>154</v>
      </c>
      <c r="D42" s="14">
        <v>0.1</v>
      </c>
      <c r="E42" s="18">
        <f>'Mano de obra'!$J$21</f>
        <v>70.38</v>
      </c>
      <c r="F42" s="375">
        <f t="shared" ref="F42:F45" si="1">ROUND(D42*E42, 2)</f>
        <v>7.04</v>
      </c>
      <c r="G42" s="1"/>
    </row>
    <row r="43" spans="1:7" ht="14.1" customHeight="1">
      <c r="A43" s="480">
        <v>15</v>
      </c>
      <c r="B43" s="17" t="s">
        <v>156</v>
      </c>
      <c r="C43" s="11" t="s">
        <v>154</v>
      </c>
      <c r="D43" s="14"/>
      <c r="E43" s="18">
        <f>'Mano de obra'!$J$22</f>
        <v>64.78</v>
      </c>
      <c r="F43" s="375">
        <f t="shared" si="1"/>
        <v>0</v>
      </c>
      <c r="G43" s="1"/>
    </row>
    <row r="44" spans="1:7" ht="14.1" customHeight="1">
      <c r="A44" s="480">
        <v>16</v>
      </c>
      <c r="B44" s="17" t="s">
        <v>157</v>
      </c>
      <c r="C44" s="11" t="s">
        <v>154</v>
      </c>
      <c r="D44" s="14">
        <v>0.1</v>
      </c>
      <c r="E44" s="18">
        <f>'Mano de obra'!$J$23</f>
        <v>59.800000000000004</v>
      </c>
      <c r="F44" s="375">
        <f t="shared" si="1"/>
        <v>5.98</v>
      </c>
      <c r="G44" s="1"/>
    </row>
    <row r="45" spans="1:7" ht="14.1" customHeight="1" thickBot="1">
      <c r="A45" s="480">
        <v>17</v>
      </c>
      <c r="B45" s="13"/>
      <c r="C45" s="11"/>
      <c r="D45" s="11"/>
      <c r="E45" s="18"/>
      <c r="F45" s="375">
        <f t="shared" si="1"/>
        <v>0</v>
      </c>
      <c r="G45" s="1"/>
    </row>
    <row r="46" spans="1:7" ht="14.1" customHeight="1" thickBot="1">
      <c r="A46" s="483"/>
      <c r="B46" s="15"/>
      <c r="C46" s="328"/>
      <c r="D46" s="328"/>
      <c r="E46" s="367" t="s">
        <v>158</v>
      </c>
      <c r="F46" s="376">
        <f>SUM(F41:F45)</f>
        <v>34.5</v>
      </c>
      <c r="G46" s="1"/>
    </row>
    <row r="47" spans="1:7" ht="14.1" customHeight="1" thickBot="1">
      <c r="A47" s="484"/>
      <c r="B47" s="15"/>
      <c r="C47" s="328"/>
      <c r="D47" s="328"/>
      <c r="E47" s="328"/>
      <c r="F47" s="367"/>
      <c r="G47" s="1"/>
    </row>
    <row r="48" spans="1:7" ht="14.1" customHeight="1" thickBot="1">
      <c r="A48" s="480"/>
      <c r="B48" s="142" t="s">
        <v>273</v>
      </c>
      <c r="C48" s="369"/>
      <c r="D48" s="369"/>
      <c r="E48" s="377" t="s">
        <v>159</v>
      </c>
      <c r="F48" s="376">
        <f>SUM(F37+F46)</f>
        <v>108.72</v>
      </c>
      <c r="G48" s="1"/>
    </row>
    <row r="49" spans="1:7" ht="15" customHeight="1">
      <c r="A49" s="626"/>
      <c r="B49" s="627" t="s">
        <v>274</v>
      </c>
      <c r="C49" s="628"/>
      <c r="D49" s="628"/>
      <c r="E49" s="629" t="s">
        <v>275</v>
      </c>
      <c r="F49" s="631">
        <f>ROUND(F48*'Coef. resumen'!$F$23, 2)</f>
        <v>161.12</v>
      </c>
    </row>
    <row r="50" spans="1:7" ht="15" customHeight="1" thickBot="1">
      <c r="A50" s="626"/>
      <c r="B50" s="627"/>
      <c r="C50" s="628"/>
      <c r="D50" s="628"/>
      <c r="E50" s="630"/>
      <c r="F50" s="632"/>
    </row>
    <row r="51" spans="1:7" ht="15">
      <c r="A51" s="471"/>
      <c r="B51" s="2"/>
      <c r="C51" s="329"/>
      <c r="D51" s="329"/>
      <c r="E51" s="329"/>
      <c r="F51" s="329"/>
    </row>
    <row r="52" spans="1:7" ht="15">
      <c r="A52" s="471"/>
      <c r="B52" s="2"/>
      <c r="C52" s="329"/>
      <c r="D52" s="329"/>
      <c r="E52" s="329"/>
      <c r="F52" s="329"/>
    </row>
    <row r="53" spans="1:7" ht="15">
      <c r="A53" s="471"/>
      <c r="B53" s="194" t="str">
        <f>'Coef. resumen'!$B$30</f>
        <v>Julián Antonelli</v>
      </c>
      <c r="C53" s="524"/>
      <c r="D53" s="524"/>
      <c r="E53" s="194" t="str">
        <f>'Coef. resumen'!$E$30</f>
        <v>Marcelo A. Pasquini</v>
      </c>
      <c r="F53" s="329"/>
    </row>
    <row r="54" spans="1:7" ht="15">
      <c r="A54" s="471"/>
      <c r="B54" s="194" t="str">
        <f>'Coef. resumen'!$B$31</f>
        <v>Ing. Civil M.P. 2161</v>
      </c>
      <c r="C54" s="524"/>
      <c r="D54" s="524"/>
      <c r="E54" s="194" t="str">
        <f>'Coef. resumen'!$E$31</f>
        <v>Socio Gerente</v>
      </c>
      <c r="F54" s="329"/>
    </row>
    <row r="55" spans="1:7" ht="15">
      <c r="A55" s="471"/>
      <c r="B55" s="194" t="str">
        <f>'Coef. resumen'!$B$32</f>
        <v>Representante Técnico</v>
      </c>
      <c r="C55" s="524"/>
      <c r="D55" s="19"/>
      <c r="E55" s="194" t="str">
        <f>'Coef. resumen'!$E$32</f>
        <v>Pasquini Construcciones SRL</v>
      </c>
      <c r="F55" s="329"/>
    </row>
    <row r="56" spans="1:7" ht="15">
      <c r="A56" s="471"/>
      <c r="B56" s="194"/>
      <c r="C56" s="329"/>
      <c r="D56" s="19"/>
      <c r="E56" s="194"/>
      <c r="F56" s="329"/>
    </row>
    <row r="57" spans="1:7" ht="14.1" customHeight="1">
      <c r="A57" s="477" t="s">
        <v>142</v>
      </c>
      <c r="B57" s="613" t="str">
        <f>Presupuesto!B21</f>
        <v>Prov. y coloc. cañerías PEAD K10 75 mm</v>
      </c>
      <c r="C57" s="614"/>
      <c r="D57" s="615"/>
      <c r="E57" s="367" t="s">
        <v>143</v>
      </c>
      <c r="F57" s="30" t="str">
        <f>Presupuesto!C21</f>
        <v>m</v>
      </c>
      <c r="G57" s="1"/>
    </row>
    <row r="58" spans="1:7" ht="14.1" customHeight="1">
      <c r="A58" s="622" t="str">
        <f>Presupuesto!A21</f>
        <v>1.1.2</v>
      </c>
      <c r="B58" s="616"/>
      <c r="C58" s="617"/>
      <c r="D58" s="618"/>
      <c r="E58" s="367"/>
      <c r="F58" s="367"/>
      <c r="G58" s="1"/>
    </row>
    <row r="59" spans="1:7" ht="14.1" customHeight="1">
      <c r="A59" s="622"/>
      <c r="B59" s="616"/>
      <c r="C59" s="617"/>
      <c r="D59" s="618"/>
      <c r="E59" s="367"/>
      <c r="F59" s="367"/>
      <c r="G59" s="1"/>
    </row>
    <row r="60" spans="1:7" ht="14.1" customHeight="1">
      <c r="A60" s="623"/>
      <c r="B60" s="619"/>
      <c r="C60" s="620"/>
      <c r="D60" s="621"/>
      <c r="E60" s="367"/>
      <c r="F60" s="367"/>
      <c r="G60" s="1"/>
    </row>
    <row r="61" spans="1:7" ht="14.1" customHeight="1">
      <c r="A61" s="478"/>
      <c r="B61" s="29"/>
      <c r="C61" s="368"/>
      <c r="D61" s="368"/>
      <c r="E61" s="365"/>
      <c r="F61" s="365"/>
      <c r="G61" s="1"/>
    </row>
    <row r="62" spans="1:7" ht="14.1" customHeight="1">
      <c r="A62" s="624" t="s">
        <v>144</v>
      </c>
      <c r="B62" s="624"/>
      <c r="C62" s="624"/>
      <c r="D62" s="624"/>
      <c r="E62" s="624"/>
      <c r="F62" s="624"/>
      <c r="G62" s="1"/>
    </row>
    <row r="63" spans="1:7" ht="14.1" customHeight="1">
      <c r="A63" s="479"/>
      <c r="B63" s="10"/>
      <c r="C63" s="327"/>
      <c r="D63" s="327"/>
      <c r="E63" s="327"/>
      <c r="F63" s="327"/>
      <c r="G63" s="1"/>
    </row>
    <row r="64" spans="1:7" ht="15.95" customHeight="1">
      <c r="A64" s="480" t="s">
        <v>145</v>
      </c>
      <c r="B64" s="11" t="s">
        <v>146</v>
      </c>
      <c r="C64" s="11" t="s">
        <v>147</v>
      </c>
      <c r="D64" s="11" t="s">
        <v>148</v>
      </c>
      <c r="E64" s="12" t="s">
        <v>149</v>
      </c>
      <c r="F64" s="11" t="s">
        <v>150</v>
      </c>
      <c r="G64" s="1"/>
    </row>
    <row r="65" spans="1:7" ht="14.1" customHeight="1">
      <c r="A65" s="480">
        <v>1</v>
      </c>
      <c r="B65" s="220" t="s">
        <v>1011</v>
      </c>
      <c r="C65" s="221" t="s">
        <v>12</v>
      </c>
      <c r="D65" s="221">
        <v>1.05</v>
      </c>
      <c r="E65" s="18">
        <f>'MAT 31-10-2013'!R220/6</f>
        <v>19.751602564102566</v>
      </c>
      <c r="F65" s="375">
        <f>ROUND(D65*E65, 2)</f>
        <v>20.74</v>
      </c>
      <c r="G65" s="1"/>
    </row>
    <row r="66" spans="1:7" ht="14.1" customHeight="1">
      <c r="A66" s="480">
        <v>2</v>
      </c>
      <c r="B66" s="220" t="s">
        <v>1014</v>
      </c>
      <c r="C66" s="221" t="s">
        <v>11</v>
      </c>
      <c r="D66" s="221">
        <v>1</v>
      </c>
      <c r="E66" s="18">
        <f>0.2*F65</f>
        <v>4.1479999999999997</v>
      </c>
      <c r="F66" s="375">
        <f t="shared" ref="F66:F76" si="2">ROUND(D66*E66, 2)</f>
        <v>4.1500000000000004</v>
      </c>
      <c r="G66" s="1"/>
    </row>
    <row r="67" spans="1:7" ht="14.1" customHeight="1">
      <c r="A67" s="480">
        <v>3</v>
      </c>
      <c r="B67" s="220" t="s">
        <v>991</v>
      </c>
      <c r="C67" s="370" t="s">
        <v>11</v>
      </c>
      <c r="D67" s="221">
        <v>1</v>
      </c>
      <c r="E67" s="18">
        <v>1</v>
      </c>
      <c r="F67" s="375">
        <f t="shared" si="2"/>
        <v>1</v>
      </c>
      <c r="G67" s="1"/>
    </row>
    <row r="68" spans="1:7" ht="14.1" customHeight="1">
      <c r="A68" s="480">
        <v>4</v>
      </c>
      <c r="B68" s="220" t="s">
        <v>1010</v>
      </c>
      <c r="C68" s="370" t="s">
        <v>325</v>
      </c>
      <c r="D68" s="221">
        <v>0.05</v>
      </c>
      <c r="E68" s="18">
        <f>Equipos!S$20</f>
        <v>132.98876033057851</v>
      </c>
      <c r="F68" s="375">
        <f t="shared" si="2"/>
        <v>6.65</v>
      </c>
      <c r="G68" s="1"/>
    </row>
    <row r="69" spans="1:7" ht="14.1" customHeight="1">
      <c r="A69" s="480">
        <v>5</v>
      </c>
      <c r="B69" s="301" t="s">
        <v>265</v>
      </c>
      <c r="C69" s="370" t="s">
        <v>325</v>
      </c>
      <c r="D69" s="221">
        <v>0.02</v>
      </c>
      <c r="E69" s="18">
        <f>Equipos!S$36</f>
        <v>3.5183305785123968</v>
      </c>
      <c r="F69" s="375">
        <f t="shared" si="2"/>
        <v>7.0000000000000007E-2</v>
      </c>
      <c r="G69" s="1"/>
    </row>
    <row r="70" spans="1:7" ht="14.1" customHeight="1">
      <c r="A70" s="480">
        <v>6</v>
      </c>
      <c r="B70" s="220"/>
      <c r="C70" s="324"/>
      <c r="D70" s="224"/>
      <c r="E70" s="18"/>
      <c r="F70" s="375">
        <f t="shared" si="2"/>
        <v>0</v>
      </c>
      <c r="G70" s="1"/>
    </row>
    <row r="71" spans="1:7" ht="14.1" customHeight="1">
      <c r="A71" s="480">
        <v>7</v>
      </c>
      <c r="B71" s="220"/>
      <c r="C71" s="324"/>
      <c r="D71" s="224"/>
      <c r="E71" s="18"/>
      <c r="F71" s="375">
        <f t="shared" si="2"/>
        <v>0</v>
      </c>
      <c r="G71" s="1"/>
    </row>
    <row r="72" spans="1:7" ht="14.1" customHeight="1">
      <c r="A72" s="480">
        <v>8</v>
      </c>
      <c r="B72" s="220"/>
      <c r="C72" s="324"/>
      <c r="D72" s="224"/>
      <c r="E72" s="18"/>
      <c r="F72" s="375">
        <f t="shared" si="2"/>
        <v>0</v>
      </c>
      <c r="G72" s="1"/>
    </row>
    <row r="73" spans="1:7" ht="14.1" customHeight="1">
      <c r="A73" s="480">
        <v>9</v>
      </c>
      <c r="B73" s="220"/>
      <c r="C73" s="324"/>
      <c r="D73" s="224"/>
      <c r="E73" s="18"/>
      <c r="F73" s="375">
        <f t="shared" si="2"/>
        <v>0</v>
      </c>
      <c r="G73" s="1"/>
    </row>
    <row r="74" spans="1:7" ht="14.1" customHeight="1">
      <c r="A74" s="480">
        <v>10</v>
      </c>
      <c r="B74" s="13"/>
      <c r="C74" s="11"/>
      <c r="D74" s="14"/>
      <c r="E74" s="18"/>
      <c r="F74" s="375">
        <f t="shared" si="2"/>
        <v>0</v>
      </c>
      <c r="G74" s="1"/>
    </row>
    <row r="75" spans="1:7" ht="14.1" customHeight="1">
      <c r="A75" s="480">
        <v>11</v>
      </c>
      <c r="B75" s="13"/>
      <c r="C75" s="11"/>
      <c r="D75" s="11"/>
      <c r="E75" s="18"/>
      <c r="F75" s="375">
        <f t="shared" si="2"/>
        <v>0</v>
      </c>
      <c r="G75" s="1"/>
    </row>
    <row r="76" spans="1:7" ht="14.1" customHeight="1" thickBot="1">
      <c r="A76" s="480">
        <v>12</v>
      </c>
      <c r="B76" s="13"/>
      <c r="C76" s="11"/>
      <c r="D76" s="11"/>
      <c r="E76" s="18"/>
      <c r="F76" s="375">
        <f t="shared" si="2"/>
        <v>0</v>
      </c>
      <c r="G76" s="1"/>
    </row>
    <row r="77" spans="1:7" ht="14.1" customHeight="1" thickBot="1">
      <c r="A77" s="481"/>
      <c r="B77" s="5"/>
      <c r="C77" s="367"/>
      <c r="D77" s="367"/>
      <c r="E77" s="367" t="s">
        <v>151</v>
      </c>
      <c r="F77" s="376">
        <f>SUM(F65:F76)</f>
        <v>32.61</v>
      </c>
      <c r="G77" s="1"/>
    </row>
    <row r="78" spans="1:7" ht="14.1" customHeight="1">
      <c r="A78" s="482"/>
      <c r="B78" s="16"/>
      <c r="C78" s="328"/>
      <c r="D78" s="328"/>
      <c r="E78" s="328"/>
      <c r="F78" s="328"/>
      <c r="G78" s="1"/>
    </row>
    <row r="79" spans="1:7" ht="14.1" customHeight="1">
      <c r="A79" s="625" t="s">
        <v>152</v>
      </c>
      <c r="B79" s="625"/>
      <c r="C79" s="625"/>
      <c r="D79" s="625"/>
      <c r="E79" s="625"/>
      <c r="F79" s="625"/>
      <c r="G79" s="1"/>
    </row>
    <row r="80" spans="1:7" ht="14.1" customHeight="1">
      <c r="A80" s="482"/>
      <c r="B80" s="16"/>
      <c r="C80" s="328"/>
      <c r="D80" s="328"/>
      <c r="E80" s="328"/>
      <c r="F80" s="367"/>
      <c r="G80" s="1"/>
    </row>
    <row r="81" spans="1:7" ht="14.1" customHeight="1">
      <c r="A81" s="480">
        <v>13</v>
      </c>
      <c r="B81" s="17" t="s">
        <v>153</v>
      </c>
      <c r="C81" s="11" t="s">
        <v>154</v>
      </c>
      <c r="D81" s="14">
        <f>D68</f>
        <v>0.05</v>
      </c>
      <c r="E81" s="18">
        <f>'Mano de obra'!$J$20</f>
        <v>82.610000000000014</v>
      </c>
      <c r="F81" s="375">
        <f>ROUND(D81*E81, 2)</f>
        <v>4.13</v>
      </c>
      <c r="G81" s="1"/>
    </row>
    <row r="82" spans="1:7" ht="14.1" customHeight="1">
      <c r="A82" s="480">
        <v>14</v>
      </c>
      <c r="B82" s="17" t="s">
        <v>155</v>
      </c>
      <c r="C82" s="11" t="s">
        <v>154</v>
      </c>
      <c r="D82" s="14">
        <f>8/80</f>
        <v>0.1</v>
      </c>
      <c r="E82" s="18">
        <f>'Mano de obra'!$J$21</f>
        <v>70.38</v>
      </c>
      <c r="F82" s="375">
        <f t="shared" ref="F82:F85" si="3">ROUND(D82*E82, 2)</f>
        <v>7.04</v>
      </c>
      <c r="G82" s="1"/>
    </row>
    <row r="83" spans="1:7" ht="14.1" customHeight="1">
      <c r="A83" s="480">
        <v>15</v>
      </c>
      <c r="B83" s="17" t="s">
        <v>156</v>
      </c>
      <c r="C83" s="11" t="s">
        <v>154</v>
      </c>
      <c r="D83" s="14">
        <f>8/80</f>
        <v>0.1</v>
      </c>
      <c r="E83" s="18">
        <f>'Mano de obra'!$J$22</f>
        <v>64.78</v>
      </c>
      <c r="F83" s="375">
        <f t="shared" si="3"/>
        <v>6.48</v>
      </c>
      <c r="G83" s="1"/>
    </row>
    <row r="84" spans="1:7" ht="14.1" customHeight="1">
      <c r="A84" s="480">
        <v>16</v>
      </c>
      <c r="B84" s="17" t="s">
        <v>157</v>
      </c>
      <c r="C84" s="11" t="s">
        <v>154</v>
      </c>
      <c r="D84" s="14">
        <f>32/80</f>
        <v>0.4</v>
      </c>
      <c r="E84" s="18">
        <f>'Mano de obra'!$J$23</f>
        <v>59.800000000000004</v>
      </c>
      <c r="F84" s="375">
        <f t="shared" si="3"/>
        <v>23.92</v>
      </c>
      <c r="G84" s="1"/>
    </row>
    <row r="85" spans="1:7" ht="14.1" customHeight="1" thickBot="1">
      <c r="A85" s="480">
        <v>17</v>
      </c>
      <c r="B85" s="13"/>
      <c r="C85" s="11"/>
      <c r="D85" s="11"/>
      <c r="E85" s="18"/>
      <c r="F85" s="375">
        <f t="shared" si="3"/>
        <v>0</v>
      </c>
      <c r="G85" s="1"/>
    </row>
    <row r="86" spans="1:7" ht="14.1" customHeight="1" thickBot="1">
      <c r="A86" s="483"/>
      <c r="B86" s="16"/>
      <c r="C86" s="328"/>
      <c r="D86" s="328"/>
      <c r="E86" s="367" t="s">
        <v>158</v>
      </c>
      <c r="F86" s="376">
        <f>SUM(F81:F85)</f>
        <v>41.57</v>
      </c>
      <c r="G86" s="1"/>
    </row>
    <row r="87" spans="1:7" ht="14.1" customHeight="1" thickBot="1">
      <c r="A87" s="484"/>
      <c r="B87" s="16"/>
      <c r="C87" s="328"/>
      <c r="D87" s="328"/>
      <c r="E87" s="328"/>
      <c r="F87" s="367"/>
      <c r="G87" s="1"/>
    </row>
    <row r="88" spans="1:7" ht="14.1" customHeight="1" thickBot="1">
      <c r="A88" s="480"/>
      <c r="B88" s="142" t="s">
        <v>273</v>
      </c>
      <c r="C88" s="369"/>
      <c r="D88" s="369"/>
      <c r="E88" s="377" t="s">
        <v>159</v>
      </c>
      <c r="F88" s="376">
        <f>SUM(F77+F86)</f>
        <v>74.180000000000007</v>
      </c>
      <c r="G88" s="1"/>
    </row>
    <row r="89" spans="1:7" ht="15" customHeight="1">
      <c r="A89" s="626"/>
      <c r="B89" s="627" t="s">
        <v>274</v>
      </c>
      <c r="C89" s="628"/>
      <c r="D89" s="628"/>
      <c r="E89" s="629" t="s">
        <v>275</v>
      </c>
      <c r="F89" s="631">
        <f>ROUND(F88*'Coef. resumen'!$F$23, 2)</f>
        <v>109.93</v>
      </c>
    </row>
    <row r="90" spans="1:7" ht="15" customHeight="1" thickBot="1">
      <c r="A90" s="626"/>
      <c r="B90" s="627"/>
      <c r="C90" s="628"/>
      <c r="D90" s="628"/>
      <c r="E90" s="630"/>
      <c r="F90" s="632"/>
    </row>
    <row r="91" spans="1:7" ht="15">
      <c r="A91" s="471"/>
      <c r="B91" s="2"/>
      <c r="C91" s="329"/>
      <c r="D91" s="329"/>
      <c r="E91" s="329"/>
      <c r="F91" s="329"/>
    </row>
    <row r="92" spans="1:7" ht="15">
      <c r="A92" s="471"/>
      <c r="B92" s="2"/>
      <c r="C92" s="329"/>
      <c r="D92" s="329"/>
      <c r="E92" s="329"/>
      <c r="F92" s="329"/>
    </row>
    <row r="93" spans="1:7" ht="15">
      <c r="A93" s="471"/>
      <c r="B93" s="194" t="str">
        <f>'Coef. resumen'!$B$30</f>
        <v>Julián Antonelli</v>
      </c>
      <c r="C93" s="524"/>
      <c r="D93" s="524"/>
      <c r="E93" s="194" t="str">
        <f>'Coef. resumen'!$E$30</f>
        <v>Marcelo A. Pasquini</v>
      </c>
      <c r="F93" s="524"/>
    </row>
    <row r="94" spans="1:7" ht="15">
      <c r="A94" s="471"/>
      <c r="B94" s="194" t="str">
        <f>'Coef. resumen'!$B$31</f>
        <v>Ing. Civil M.P. 2161</v>
      </c>
      <c r="C94" s="524"/>
      <c r="D94" s="524"/>
      <c r="E94" s="194" t="str">
        <f>'Coef. resumen'!$E$31</f>
        <v>Socio Gerente</v>
      </c>
      <c r="F94" s="524"/>
    </row>
    <row r="95" spans="1:7" ht="15">
      <c r="A95" s="471"/>
      <c r="B95" s="194" t="str">
        <f>'Coef. resumen'!$B$32</f>
        <v>Representante Técnico</v>
      </c>
      <c r="C95" s="524"/>
      <c r="D95" s="19"/>
      <c r="E95" s="194" t="str">
        <f>'Coef. resumen'!$E$32</f>
        <v>Pasquini Construcciones SRL</v>
      </c>
      <c r="F95" s="524"/>
    </row>
    <row r="96" spans="1:7" ht="15">
      <c r="A96" s="471"/>
      <c r="B96" s="194"/>
      <c r="C96" s="329"/>
      <c r="D96" s="19"/>
      <c r="E96" s="194"/>
      <c r="F96" s="329"/>
    </row>
    <row r="97" spans="1:7" ht="14.1" customHeight="1">
      <c r="A97" s="477" t="s">
        <v>142</v>
      </c>
      <c r="B97" s="613" t="str">
        <f>Presupuesto!B22</f>
        <v>Prov.y colocación cañerías PEAD K10 110 mm</v>
      </c>
      <c r="C97" s="614"/>
      <c r="D97" s="615"/>
      <c r="E97" s="367" t="s">
        <v>143</v>
      </c>
      <c r="F97" s="30" t="str">
        <f>Presupuesto!C22</f>
        <v>m</v>
      </c>
      <c r="G97" s="1"/>
    </row>
    <row r="98" spans="1:7" ht="14.1" customHeight="1">
      <c r="A98" s="622" t="str">
        <f>Presupuesto!A22</f>
        <v>1.1.3</v>
      </c>
      <c r="B98" s="616"/>
      <c r="C98" s="617"/>
      <c r="D98" s="618"/>
      <c r="E98" s="367"/>
      <c r="F98" s="367"/>
      <c r="G98" s="1"/>
    </row>
    <row r="99" spans="1:7" ht="14.1" customHeight="1">
      <c r="A99" s="622"/>
      <c r="B99" s="616"/>
      <c r="C99" s="617"/>
      <c r="D99" s="618"/>
      <c r="E99" s="367"/>
      <c r="F99" s="367"/>
      <c r="G99" s="1"/>
    </row>
    <row r="100" spans="1:7" ht="14.1" customHeight="1">
      <c r="A100" s="623"/>
      <c r="B100" s="619"/>
      <c r="C100" s="620"/>
      <c r="D100" s="621"/>
      <c r="E100" s="367"/>
      <c r="F100" s="367"/>
      <c r="G100" s="1"/>
    </row>
    <row r="101" spans="1:7" ht="14.1" customHeight="1">
      <c r="A101" s="478"/>
      <c r="B101" s="29"/>
      <c r="C101" s="368"/>
      <c r="D101" s="368"/>
      <c r="E101" s="365"/>
      <c r="F101" s="365"/>
      <c r="G101" s="1"/>
    </row>
    <row r="102" spans="1:7" ht="14.1" customHeight="1">
      <c r="A102" s="624" t="s">
        <v>144</v>
      </c>
      <c r="B102" s="624"/>
      <c r="C102" s="624"/>
      <c r="D102" s="624"/>
      <c r="E102" s="624"/>
      <c r="F102" s="624"/>
      <c r="G102" s="1"/>
    </row>
    <row r="103" spans="1:7" ht="14.1" customHeight="1">
      <c r="A103" s="479"/>
      <c r="B103" s="10"/>
      <c r="C103" s="327"/>
      <c r="D103" s="327"/>
      <c r="E103" s="327"/>
      <c r="F103" s="327"/>
      <c r="G103" s="1"/>
    </row>
    <row r="104" spans="1:7" ht="15.95" customHeight="1">
      <c r="A104" s="480" t="s">
        <v>145</v>
      </c>
      <c r="B104" s="11" t="s">
        <v>146</v>
      </c>
      <c r="C104" s="11" t="s">
        <v>147</v>
      </c>
      <c r="D104" s="11" t="s">
        <v>148</v>
      </c>
      <c r="E104" s="12" t="s">
        <v>149</v>
      </c>
      <c r="F104" s="11" t="s">
        <v>150</v>
      </c>
      <c r="G104" s="1"/>
    </row>
    <row r="105" spans="1:7" ht="14.1" customHeight="1">
      <c r="A105" s="480">
        <v>1</v>
      </c>
      <c r="B105" s="220" t="s">
        <v>1012</v>
      </c>
      <c r="C105" s="221" t="s">
        <v>12</v>
      </c>
      <c r="D105" s="221">
        <v>1.05</v>
      </c>
      <c r="E105" s="18">
        <f>'MAT 31-10-2013'!R221/6</f>
        <v>42.378917378917386</v>
      </c>
      <c r="F105" s="375">
        <f>ROUND(D105*E105, 2)</f>
        <v>44.5</v>
      </c>
      <c r="G105" s="1"/>
    </row>
    <row r="106" spans="1:7" ht="14.1" customHeight="1">
      <c r="A106" s="480">
        <v>2</v>
      </c>
      <c r="B106" s="220" t="s">
        <v>1013</v>
      </c>
      <c r="C106" s="221" t="s">
        <v>11</v>
      </c>
      <c r="D106" s="221">
        <v>1</v>
      </c>
      <c r="E106" s="18">
        <f>0.2*F105</f>
        <v>8.9</v>
      </c>
      <c r="F106" s="375">
        <f t="shared" ref="F106:F116" si="4">ROUND(D106*E106, 2)</f>
        <v>8.9</v>
      </c>
      <c r="G106" s="1"/>
    </row>
    <row r="107" spans="1:7" ht="14.1" customHeight="1">
      <c r="A107" s="480">
        <v>3</v>
      </c>
      <c r="B107" s="220" t="s">
        <v>991</v>
      </c>
      <c r="C107" s="370" t="s">
        <v>11</v>
      </c>
      <c r="D107" s="221">
        <v>1</v>
      </c>
      <c r="E107" s="18">
        <v>2</v>
      </c>
      <c r="F107" s="375">
        <f t="shared" si="4"/>
        <v>2</v>
      </c>
      <c r="G107" s="1"/>
    </row>
    <row r="108" spans="1:7" ht="14.1" customHeight="1">
      <c r="A108" s="480">
        <v>4</v>
      </c>
      <c r="B108" s="220" t="s">
        <v>1010</v>
      </c>
      <c r="C108" s="370" t="s">
        <v>325</v>
      </c>
      <c r="D108" s="221">
        <v>0.1</v>
      </c>
      <c r="E108" s="18">
        <f>Equipos!S$20</f>
        <v>132.98876033057851</v>
      </c>
      <c r="F108" s="375">
        <f t="shared" si="4"/>
        <v>13.3</v>
      </c>
      <c r="G108" s="1"/>
    </row>
    <row r="109" spans="1:7" ht="14.1" customHeight="1">
      <c r="A109" s="480">
        <v>5</v>
      </c>
      <c r="B109" s="301" t="s">
        <v>265</v>
      </c>
      <c r="C109" s="370" t="s">
        <v>325</v>
      </c>
      <c r="D109" s="221">
        <v>0.05</v>
      </c>
      <c r="E109" s="18">
        <f>Equipos!S$36</f>
        <v>3.5183305785123968</v>
      </c>
      <c r="F109" s="375">
        <f t="shared" si="4"/>
        <v>0.18</v>
      </c>
      <c r="G109" s="1"/>
    </row>
    <row r="110" spans="1:7" ht="14.1" customHeight="1">
      <c r="A110" s="480">
        <v>6</v>
      </c>
      <c r="B110" s="220"/>
      <c r="C110" s="324"/>
      <c r="D110" s="224"/>
      <c r="E110" s="18"/>
      <c r="F110" s="375">
        <f t="shared" si="4"/>
        <v>0</v>
      </c>
      <c r="G110" s="1"/>
    </row>
    <row r="111" spans="1:7" ht="14.1" customHeight="1">
      <c r="A111" s="480">
        <v>7</v>
      </c>
      <c r="B111" s="220"/>
      <c r="C111" s="324"/>
      <c r="D111" s="224"/>
      <c r="E111" s="18"/>
      <c r="F111" s="375">
        <f t="shared" si="4"/>
        <v>0</v>
      </c>
      <c r="G111" s="1"/>
    </row>
    <row r="112" spans="1:7" ht="14.1" customHeight="1">
      <c r="A112" s="480">
        <v>8</v>
      </c>
      <c r="B112" s="220"/>
      <c r="C112" s="324"/>
      <c r="D112" s="224"/>
      <c r="E112" s="18"/>
      <c r="F112" s="375">
        <f t="shared" si="4"/>
        <v>0</v>
      </c>
      <c r="G112" s="1"/>
    </row>
    <row r="113" spans="1:7" ht="14.1" customHeight="1">
      <c r="A113" s="480">
        <v>9</v>
      </c>
      <c r="B113" s="220"/>
      <c r="C113" s="324"/>
      <c r="D113" s="224"/>
      <c r="E113" s="18"/>
      <c r="F113" s="375">
        <f t="shared" si="4"/>
        <v>0</v>
      </c>
      <c r="G113" s="1"/>
    </row>
    <row r="114" spans="1:7" ht="14.1" customHeight="1">
      <c r="A114" s="480">
        <v>10</v>
      </c>
      <c r="B114" s="13"/>
      <c r="C114" s="11"/>
      <c r="D114" s="14"/>
      <c r="E114" s="18"/>
      <c r="F114" s="375">
        <f t="shared" si="4"/>
        <v>0</v>
      </c>
      <c r="G114" s="1"/>
    </row>
    <row r="115" spans="1:7" ht="14.1" customHeight="1">
      <c r="A115" s="480">
        <v>11</v>
      </c>
      <c r="B115" s="13"/>
      <c r="C115" s="11"/>
      <c r="D115" s="11"/>
      <c r="E115" s="18"/>
      <c r="F115" s="375">
        <f t="shared" si="4"/>
        <v>0</v>
      </c>
      <c r="G115" s="1"/>
    </row>
    <row r="116" spans="1:7" ht="14.1" customHeight="1" thickBot="1">
      <c r="A116" s="480">
        <v>12</v>
      </c>
      <c r="B116" s="13"/>
      <c r="C116" s="11"/>
      <c r="D116" s="11"/>
      <c r="E116" s="18"/>
      <c r="F116" s="375">
        <f t="shared" si="4"/>
        <v>0</v>
      </c>
      <c r="G116" s="1"/>
    </row>
    <row r="117" spans="1:7" ht="14.1" customHeight="1" thickBot="1">
      <c r="A117" s="481"/>
      <c r="B117" s="5"/>
      <c r="C117" s="367"/>
      <c r="D117" s="367"/>
      <c r="E117" s="367" t="s">
        <v>151</v>
      </c>
      <c r="F117" s="376">
        <f>SUM(F105:F116)</f>
        <v>68.88000000000001</v>
      </c>
      <c r="G117" s="1"/>
    </row>
    <row r="118" spans="1:7" ht="14.1" customHeight="1">
      <c r="A118" s="482"/>
      <c r="B118" s="16"/>
      <c r="C118" s="328"/>
      <c r="D118" s="328"/>
      <c r="E118" s="328"/>
      <c r="F118" s="328"/>
      <c r="G118" s="1"/>
    </row>
    <row r="119" spans="1:7" ht="14.1" customHeight="1">
      <c r="A119" s="625" t="s">
        <v>152</v>
      </c>
      <c r="B119" s="625"/>
      <c r="C119" s="625"/>
      <c r="D119" s="625"/>
      <c r="E119" s="625"/>
      <c r="F119" s="625"/>
      <c r="G119" s="1"/>
    </row>
    <row r="120" spans="1:7" ht="14.1" customHeight="1">
      <c r="A120" s="482"/>
      <c r="B120" s="16"/>
      <c r="C120" s="328"/>
      <c r="D120" s="328"/>
      <c r="E120" s="328"/>
      <c r="F120" s="367"/>
      <c r="G120" s="1"/>
    </row>
    <row r="121" spans="1:7" ht="14.1" customHeight="1">
      <c r="A121" s="480">
        <v>13</v>
      </c>
      <c r="B121" s="17" t="s">
        <v>153</v>
      </c>
      <c r="C121" s="11" t="s">
        <v>154</v>
      </c>
      <c r="D121" s="14">
        <f>D108</f>
        <v>0.1</v>
      </c>
      <c r="E121" s="18">
        <f>'Mano de obra'!$J$20</f>
        <v>82.610000000000014</v>
      </c>
      <c r="F121" s="375">
        <f>ROUND(D121*E121, 2)</f>
        <v>8.26</v>
      </c>
      <c r="G121" s="1"/>
    </row>
    <row r="122" spans="1:7" ht="14.1" customHeight="1">
      <c r="A122" s="480">
        <v>14</v>
      </c>
      <c r="B122" s="17" t="s">
        <v>155</v>
      </c>
      <c r="C122" s="11" t="s">
        <v>154</v>
      </c>
      <c r="D122" s="14">
        <f>8/80</f>
        <v>0.1</v>
      </c>
      <c r="E122" s="18">
        <f>'Mano de obra'!$J$21</f>
        <v>70.38</v>
      </c>
      <c r="F122" s="375">
        <f t="shared" ref="F122:F125" si="5">ROUND(D122*E122, 2)</f>
        <v>7.04</v>
      </c>
      <c r="G122" s="1"/>
    </row>
    <row r="123" spans="1:7" ht="14.1" customHeight="1">
      <c r="A123" s="480">
        <v>15</v>
      </c>
      <c r="B123" s="17" t="s">
        <v>156</v>
      </c>
      <c r="C123" s="11" t="s">
        <v>154</v>
      </c>
      <c r="D123" s="14">
        <f>8/80</f>
        <v>0.1</v>
      </c>
      <c r="E123" s="18">
        <f>'Mano de obra'!$J$22</f>
        <v>64.78</v>
      </c>
      <c r="F123" s="375">
        <f t="shared" si="5"/>
        <v>6.48</v>
      </c>
      <c r="G123" s="1"/>
    </row>
    <row r="124" spans="1:7" ht="14.1" customHeight="1">
      <c r="A124" s="480">
        <v>16</v>
      </c>
      <c r="B124" s="17" t="s">
        <v>157</v>
      </c>
      <c r="C124" s="11" t="s">
        <v>154</v>
      </c>
      <c r="D124" s="14">
        <f>32/80</f>
        <v>0.4</v>
      </c>
      <c r="E124" s="18">
        <f>'Mano de obra'!$J$23</f>
        <v>59.800000000000004</v>
      </c>
      <c r="F124" s="375">
        <f t="shared" si="5"/>
        <v>23.92</v>
      </c>
      <c r="G124" s="1"/>
    </row>
    <row r="125" spans="1:7" ht="14.1" customHeight="1" thickBot="1">
      <c r="A125" s="480">
        <v>17</v>
      </c>
      <c r="B125" s="13"/>
      <c r="C125" s="11"/>
      <c r="D125" s="11"/>
      <c r="E125" s="18"/>
      <c r="F125" s="375">
        <f t="shared" si="5"/>
        <v>0</v>
      </c>
      <c r="G125" s="1"/>
    </row>
    <row r="126" spans="1:7" ht="14.1" customHeight="1" thickBot="1">
      <c r="A126" s="483"/>
      <c r="B126" s="16"/>
      <c r="C126" s="328"/>
      <c r="D126" s="328"/>
      <c r="E126" s="367" t="s">
        <v>158</v>
      </c>
      <c r="F126" s="376">
        <f>SUM(F121:F125)</f>
        <v>45.7</v>
      </c>
      <c r="G126" s="1"/>
    </row>
    <row r="127" spans="1:7" ht="14.1" customHeight="1" thickBot="1">
      <c r="A127" s="484"/>
      <c r="B127" s="16"/>
      <c r="C127" s="328"/>
      <c r="D127" s="328"/>
      <c r="E127" s="328"/>
      <c r="F127" s="367"/>
      <c r="G127" s="1"/>
    </row>
    <row r="128" spans="1:7" ht="14.1" customHeight="1" thickBot="1">
      <c r="A128" s="480"/>
      <c r="B128" s="142" t="s">
        <v>273</v>
      </c>
      <c r="C128" s="369"/>
      <c r="D128" s="369"/>
      <c r="E128" s="377" t="s">
        <v>159</v>
      </c>
      <c r="F128" s="376">
        <f>SUM(F117+F126)</f>
        <v>114.58000000000001</v>
      </c>
      <c r="G128" s="1"/>
    </row>
    <row r="129" spans="1:7" ht="15" customHeight="1">
      <c r="A129" s="626"/>
      <c r="B129" s="627" t="s">
        <v>274</v>
      </c>
      <c r="C129" s="628"/>
      <c r="D129" s="628"/>
      <c r="E129" s="629" t="s">
        <v>275</v>
      </c>
      <c r="F129" s="631">
        <f>ROUND(F128*'Coef. resumen'!$F$23, 2)</f>
        <v>169.81</v>
      </c>
    </row>
    <row r="130" spans="1:7" ht="15" customHeight="1" thickBot="1">
      <c r="A130" s="626"/>
      <c r="B130" s="627"/>
      <c r="C130" s="628"/>
      <c r="D130" s="628"/>
      <c r="E130" s="630"/>
      <c r="F130" s="632"/>
    </row>
    <row r="131" spans="1:7" ht="15">
      <c r="A131" s="471"/>
      <c r="B131" s="2"/>
      <c r="C131" s="329"/>
      <c r="D131" s="329"/>
      <c r="E131" s="329"/>
      <c r="F131" s="329"/>
    </row>
    <row r="132" spans="1:7" ht="15">
      <c r="A132" s="471"/>
      <c r="B132" s="2"/>
      <c r="C132" s="329"/>
      <c r="D132" s="329"/>
      <c r="E132" s="329"/>
      <c r="F132" s="329"/>
    </row>
    <row r="133" spans="1:7" ht="15">
      <c r="A133" s="471"/>
      <c r="B133" s="194" t="str">
        <f>'Coef. resumen'!$B$30</f>
        <v>Julián Antonelli</v>
      </c>
      <c r="C133" s="524"/>
      <c r="D133" s="524"/>
      <c r="E133" s="194" t="str">
        <f>'Coef. resumen'!$E$30</f>
        <v>Marcelo A. Pasquini</v>
      </c>
      <c r="F133" s="524"/>
    </row>
    <row r="134" spans="1:7" ht="15">
      <c r="A134" s="471"/>
      <c r="B134" s="194" t="str">
        <f>'Coef. resumen'!$B$31</f>
        <v>Ing. Civil M.P. 2161</v>
      </c>
      <c r="C134" s="524"/>
      <c r="D134" s="524"/>
      <c r="E134" s="194" t="str">
        <f>'Coef. resumen'!$E$31</f>
        <v>Socio Gerente</v>
      </c>
      <c r="F134" s="524"/>
    </row>
    <row r="135" spans="1:7" ht="15">
      <c r="A135" s="471"/>
      <c r="B135" s="194" t="str">
        <f>'Coef. resumen'!$B$32</f>
        <v>Representante Técnico</v>
      </c>
      <c r="C135" s="524"/>
      <c r="D135" s="19"/>
      <c r="E135" s="194" t="str">
        <f>'Coef. resumen'!$E$32</f>
        <v>Pasquini Construcciones SRL</v>
      </c>
      <c r="F135" s="524"/>
    </row>
    <row r="136" spans="1:7" ht="15">
      <c r="A136" s="471"/>
      <c r="B136" s="194"/>
      <c r="C136" s="329"/>
      <c r="D136" s="19"/>
      <c r="E136" s="194"/>
      <c r="F136" s="329"/>
    </row>
    <row r="137" spans="1:7" ht="14.1" customHeight="1">
      <c r="A137" s="477" t="s">
        <v>142</v>
      </c>
      <c r="B137" s="613" t="str">
        <f>Presupuesto!B23</f>
        <v>Prov.y colocación cañerías PEAD K10 160 mm</v>
      </c>
      <c r="C137" s="614"/>
      <c r="D137" s="615"/>
      <c r="E137" s="367" t="s">
        <v>143</v>
      </c>
      <c r="F137" s="30" t="str">
        <f>Presupuesto!C23</f>
        <v>m</v>
      </c>
      <c r="G137" s="1"/>
    </row>
    <row r="138" spans="1:7" ht="14.1" customHeight="1">
      <c r="A138" s="622" t="str">
        <f>Presupuesto!A23</f>
        <v>1.1.4</v>
      </c>
      <c r="B138" s="616"/>
      <c r="C138" s="617"/>
      <c r="D138" s="618"/>
      <c r="E138" s="367"/>
      <c r="F138" s="367"/>
      <c r="G138" s="1"/>
    </row>
    <row r="139" spans="1:7" ht="14.1" customHeight="1">
      <c r="A139" s="622"/>
      <c r="B139" s="616"/>
      <c r="C139" s="617"/>
      <c r="D139" s="618"/>
      <c r="E139" s="367"/>
      <c r="F139" s="367"/>
      <c r="G139" s="1"/>
    </row>
    <row r="140" spans="1:7" ht="14.1" customHeight="1">
      <c r="A140" s="623"/>
      <c r="B140" s="619"/>
      <c r="C140" s="620"/>
      <c r="D140" s="621"/>
      <c r="E140" s="367"/>
      <c r="F140" s="367"/>
      <c r="G140" s="1"/>
    </row>
    <row r="141" spans="1:7" ht="14.1" customHeight="1">
      <c r="A141" s="478"/>
      <c r="B141" s="29"/>
      <c r="C141" s="368"/>
      <c r="D141" s="368"/>
      <c r="E141" s="365"/>
      <c r="F141" s="365"/>
      <c r="G141" s="1"/>
    </row>
    <row r="142" spans="1:7" ht="14.1" customHeight="1">
      <c r="A142" s="624" t="s">
        <v>144</v>
      </c>
      <c r="B142" s="624"/>
      <c r="C142" s="624"/>
      <c r="D142" s="624"/>
      <c r="E142" s="624"/>
      <c r="F142" s="624"/>
      <c r="G142" s="1"/>
    </row>
    <row r="143" spans="1:7" ht="14.1" customHeight="1">
      <c r="A143" s="479"/>
      <c r="B143" s="10"/>
      <c r="C143" s="327"/>
      <c r="D143" s="327"/>
      <c r="E143" s="327"/>
      <c r="F143" s="327"/>
      <c r="G143" s="1"/>
    </row>
    <row r="144" spans="1:7" ht="15.95" customHeight="1">
      <c r="A144" s="480" t="s">
        <v>145</v>
      </c>
      <c r="B144" s="11" t="s">
        <v>146</v>
      </c>
      <c r="C144" s="11" t="s">
        <v>147</v>
      </c>
      <c r="D144" s="11" t="s">
        <v>148</v>
      </c>
      <c r="E144" s="12" t="s">
        <v>149</v>
      </c>
      <c r="F144" s="11" t="s">
        <v>150</v>
      </c>
      <c r="G144" s="1"/>
    </row>
    <row r="145" spans="1:7" ht="14.1" customHeight="1">
      <c r="A145" s="480">
        <v>1</v>
      </c>
      <c r="B145" s="220" t="s">
        <v>1015</v>
      </c>
      <c r="C145" s="221" t="s">
        <v>12</v>
      </c>
      <c r="D145" s="221">
        <v>1.05</v>
      </c>
      <c r="E145" s="18">
        <f>'MAT 31-10-2013'!R222/6</f>
        <v>163.09879093970005</v>
      </c>
      <c r="F145" s="375">
        <f>ROUND(D145*E145, 2)</f>
        <v>171.25</v>
      </c>
      <c r="G145" s="1"/>
    </row>
    <row r="146" spans="1:7" ht="14.1" customHeight="1">
      <c r="A146" s="480">
        <v>2</v>
      </c>
      <c r="B146" s="220" t="s">
        <v>1016</v>
      </c>
      <c r="C146" s="221" t="s">
        <v>11</v>
      </c>
      <c r="D146" s="221">
        <v>1</v>
      </c>
      <c r="E146" s="18">
        <f>0.2*F145</f>
        <v>34.25</v>
      </c>
      <c r="F146" s="375">
        <f t="shared" ref="F146:F156" si="6">ROUND(D146*E146, 2)</f>
        <v>34.25</v>
      </c>
      <c r="G146" s="1"/>
    </row>
    <row r="147" spans="1:7" ht="14.1" customHeight="1">
      <c r="A147" s="480">
        <v>3</v>
      </c>
      <c r="B147" s="220" t="s">
        <v>991</v>
      </c>
      <c r="C147" s="370" t="s">
        <v>11</v>
      </c>
      <c r="D147" s="221">
        <v>1</v>
      </c>
      <c r="E147" s="18">
        <v>3</v>
      </c>
      <c r="F147" s="375">
        <f t="shared" si="6"/>
        <v>3</v>
      </c>
      <c r="G147" s="1"/>
    </row>
    <row r="148" spans="1:7" ht="14.1" customHeight="1">
      <c r="A148" s="480">
        <v>4</v>
      </c>
      <c r="B148" s="220" t="s">
        <v>1010</v>
      </c>
      <c r="C148" s="370" t="s">
        <v>325</v>
      </c>
      <c r="D148" s="221">
        <v>0.12</v>
      </c>
      <c r="E148" s="18">
        <f>Equipos!S$20</f>
        <v>132.98876033057851</v>
      </c>
      <c r="F148" s="375">
        <f t="shared" si="6"/>
        <v>15.96</v>
      </c>
      <c r="G148" s="1"/>
    </row>
    <row r="149" spans="1:7" ht="14.1" customHeight="1">
      <c r="A149" s="480">
        <v>5</v>
      </c>
      <c r="B149" s="301" t="s">
        <v>265</v>
      </c>
      <c r="C149" s="370" t="s">
        <v>325</v>
      </c>
      <c r="D149" s="221">
        <v>0.08</v>
      </c>
      <c r="E149" s="18">
        <f>Equipos!S$36</f>
        <v>3.5183305785123968</v>
      </c>
      <c r="F149" s="375">
        <f t="shared" si="6"/>
        <v>0.28000000000000003</v>
      </c>
      <c r="G149" s="1"/>
    </row>
    <row r="150" spans="1:7" ht="14.1" customHeight="1">
      <c r="A150" s="480">
        <v>6</v>
      </c>
      <c r="B150" s="220"/>
      <c r="C150" s="324"/>
      <c r="D150" s="224"/>
      <c r="E150" s="18"/>
      <c r="F150" s="375">
        <f t="shared" si="6"/>
        <v>0</v>
      </c>
      <c r="G150" s="1"/>
    </row>
    <row r="151" spans="1:7" ht="14.1" customHeight="1">
      <c r="A151" s="480">
        <v>7</v>
      </c>
      <c r="B151" s="220"/>
      <c r="C151" s="324"/>
      <c r="D151" s="224"/>
      <c r="E151" s="18"/>
      <c r="F151" s="375">
        <f t="shared" si="6"/>
        <v>0</v>
      </c>
      <c r="G151" s="1"/>
    </row>
    <row r="152" spans="1:7" ht="14.1" customHeight="1">
      <c r="A152" s="480">
        <v>8</v>
      </c>
      <c r="B152" s="220"/>
      <c r="C152" s="324"/>
      <c r="D152" s="224"/>
      <c r="E152" s="18"/>
      <c r="F152" s="375">
        <f t="shared" si="6"/>
        <v>0</v>
      </c>
      <c r="G152" s="1"/>
    </row>
    <row r="153" spans="1:7" ht="14.1" customHeight="1">
      <c r="A153" s="480">
        <v>9</v>
      </c>
      <c r="B153" s="220"/>
      <c r="C153" s="324"/>
      <c r="D153" s="224"/>
      <c r="E153" s="18"/>
      <c r="F153" s="375">
        <f t="shared" si="6"/>
        <v>0</v>
      </c>
      <c r="G153" s="1"/>
    </row>
    <row r="154" spans="1:7" ht="14.1" customHeight="1">
      <c r="A154" s="480">
        <v>10</v>
      </c>
      <c r="B154" s="13"/>
      <c r="C154" s="11"/>
      <c r="D154" s="14"/>
      <c r="E154" s="18"/>
      <c r="F154" s="375">
        <f t="shared" si="6"/>
        <v>0</v>
      </c>
      <c r="G154" s="1"/>
    </row>
    <row r="155" spans="1:7" ht="14.1" customHeight="1">
      <c r="A155" s="480">
        <v>11</v>
      </c>
      <c r="B155" s="13"/>
      <c r="C155" s="11"/>
      <c r="D155" s="11"/>
      <c r="E155" s="18"/>
      <c r="F155" s="375">
        <f t="shared" si="6"/>
        <v>0</v>
      </c>
      <c r="G155" s="1"/>
    </row>
    <row r="156" spans="1:7" ht="14.1" customHeight="1" thickBot="1">
      <c r="A156" s="480">
        <v>12</v>
      </c>
      <c r="B156" s="13"/>
      <c r="C156" s="11"/>
      <c r="D156" s="11"/>
      <c r="E156" s="18"/>
      <c r="F156" s="375">
        <f t="shared" si="6"/>
        <v>0</v>
      </c>
      <c r="G156" s="1"/>
    </row>
    <row r="157" spans="1:7" ht="14.1" customHeight="1" thickBot="1">
      <c r="A157" s="481"/>
      <c r="B157" s="5"/>
      <c r="C157" s="367"/>
      <c r="D157" s="367"/>
      <c r="E157" s="367" t="s">
        <v>151</v>
      </c>
      <c r="F157" s="376">
        <f>SUM(F145:F156)</f>
        <v>224.74</v>
      </c>
      <c r="G157" s="1"/>
    </row>
    <row r="158" spans="1:7" ht="14.1" customHeight="1">
      <c r="A158" s="482"/>
      <c r="B158" s="16"/>
      <c r="C158" s="328"/>
      <c r="D158" s="328"/>
      <c r="E158" s="328"/>
      <c r="F158" s="328"/>
      <c r="G158" s="1"/>
    </row>
    <row r="159" spans="1:7" ht="14.1" customHeight="1">
      <c r="A159" s="625" t="s">
        <v>152</v>
      </c>
      <c r="B159" s="625"/>
      <c r="C159" s="625"/>
      <c r="D159" s="625"/>
      <c r="E159" s="625"/>
      <c r="F159" s="625"/>
      <c r="G159" s="1"/>
    </row>
    <row r="160" spans="1:7" ht="14.1" customHeight="1">
      <c r="A160" s="482"/>
      <c r="B160" s="16"/>
      <c r="C160" s="328"/>
      <c r="D160" s="328"/>
      <c r="E160" s="328"/>
      <c r="F160" s="367"/>
      <c r="G160" s="1"/>
    </row>
    <row r="161" spans="1:7" ht="14.1" customHeight="1">
      <c r="A161" s="480">
        <v>13</v>
      </c>
      <c r="B161" s="17" t="s">
        <v>153</v>
      </c>
      <c r="C161" s="11" t="s">
        <v>154</v>
      </c>
      <c r="D161" s="14">
        <f>D148</f>
        <v>0.12</v>
      </c>
      <c r="E161" s="18">
        <f>'Mano de obra'!$J$20</f>
        <v>82.610000000000014</v>
      </c>
      <c r="F161" s="375">
        <f>ROUND(D161*E161, 2)</f>
        <v>9.91</v>
      </c>
      <c r="G161" s="1"/>
    </row>
    <row r="162" spans="1:7" ht="14.1" customHeight="1">
      <c r="A162" s="480">
        <v>14</v>
      </c>
      <c r="B162" s="17" t="s">
        <v>155</v>
      </c>
      <c r="C162" s="11" t="s">
        <v>154</v>
      </c>
      <c r="D162" s="14">
        <f>8/80</f>
        <v>0.1</v>
      </c>
      <c r="E162" s="18">
        <f>'Mano de obra'!$J$21</f>
        <v>70.38</v>
      </c>
      <c r="F162" s="375">
        <f t="shared" ref="F162:F165" si="7">ROUND(D162*E162, 2)</f>
        <v>7.04</v>
      </c>
      <c r="G162" s="1"/>
    </row>
    <row r="163" spans="1:7" ht="14.1" customHeight="1">
      <c r="A163" s="480">
        <v>15</v>
      </c>
      <c r="B163" s="17" t="s">
        <v>156</v>
      </c>
      <c r="C163" s="11" t="s">
        <v>154</v>
      </c>
      <c r="D163" s="14">
        <f>8/80</f>
        <v>0.1</v>
      </c>
      <c r="E163" s="18">
        <f>'Mano de obra'!$J$22</f>
        <v>64.78</v>
      </c>
      <c r="F163" s="375">
        <f t="shared" si="7"/>
        <v>6.48</v>
      </c>
      <c r="G163" s="1"/>
    </row>
    <row r="164" spans="1:7" ht="14.1" customHeight="1">
      <c r="A164" s="480">
        <v>16</v>
      </c>
      <c r="B164" s="17" t="s">
        <v>157</v>
      </c>
      <c r="C164" s="11" t="s">
        <v>154</v>
      </c>
      <c r="D164" s="14">
        <f>32/80</f>
        <v>0.4</v>
      </c>
      <c r="E164" s="18">
        <f>'Mano de obra'!$J$23</f>
        <v>59.800000000000004</v>
      </c>
      <c r="F164" s="375">
        <f t="shared" si="7"/>
        <v>23.92</v>
      </c>
      <c r="G164" s="1"/>
    </row>
    <row r="165" spans="1:7" ht="14.1" customHeight="1" thickBot="1">
      <c r="A165" s="480">
        <v>17</v>
      </c>
      <c r="B165" s="13"/>
      <c r="C165" s="11"/>
      <c r="D165" s="11"/>
      <c r="E165" s="18"/>
      <c r="F165" s="375">
        <f t="shared" si="7"/>
        <v>0</v>
      </c>
      <c r="G165" s="1"/>
    </row>
    <row r="166" spans="1:7" ht="14.1" customHeight="1" thickBot="1">
      <c r="A166" s="483"/>
      <c r="B166" s="16"/>
      <c r="C166" s="328"/>
      <c r="D166" s="328"/>
      <c r="E166" s="367" t="s">
        <v>158</v>
      </c>
      <c r="F166" s="376">
        <f>SUM(F161:F165)</f>
        <v>47.35</v>
      </c>
      <c r="G166" s="1"/>
    </row>
    <row r="167" spans="1:7" ht="14.1" customHeight="1" thickBot="1">
      <c r="A167" s="484"/>
      <c r="B167" s="16"/>
      <c r="C167" s="328"/>
      <c r="D167" s="328"/>
      <c r="E167" s="328"/>
      <c r="F167" s="367"/>
      <c r="G167" s="1"/>
    </row>
    <row r="168" spans="1:7" ht="14.1" customHeight="1" thickBot="1">
      <c r="A168" s="480"/>
      <c r="B168" s="142" t="s">
        <v>273</v>
      </c>
      <c r="C168" s="369"/>
      <c r="D168" s="369"/>
      <c r="E168" s="377" t="s">
        <v>159</v>
      </c>
      <c r="F168" s="376">
        <f>SUM(F157+F166)</f>
        <v>272.09000000000003</v>
      </c>
      <c r="G168" s="1"/>
    </row>
    <row r="169" spans="1:7" ht="15" customHeight="1">
      <c r="A169" s="626"/>
      <c r="B169" s="627" t="s">
        <v>274</v>
      </c>
      <c r="C169" s="628"/>
      <c r="D169" s="628"/>
      <c r="E169" s="629" t="s">
        <v>275</v>
      </c>
      <c r="F169" s="631">
        <f>ROUND(F168*'Coef. resumen'!$F$23, 2)</f>
        <v>403.24</v>
      </c>
    </row>
    <row r="170" spans="1:7" ht="15" customHeight="1" thickBot="1">
      <c r="A170" s="626"/>
      <c r="B170" s="627"/>
      <c r="C170" s="628"/>
      <c r="D170" s="628"/>
      <c r="E170" s="630"/>
      <c r="F170" s="632"/>
    </row>
    <row r="171" spans="1:7" ht="15">
      <c r="A171" s="471"/>
      <c r="B171" s="2"/>
      <c r="C171" s="329"/>
      <c r="D171" s="329"/>
      <c r="E171" s="329"/>
      <c r="F171" s="329"/>
    </row>
    <row r="172" spans="1:7" ht="15">
      <c r="A172" s="471"/>
      <c r="B172" s="2"/>
      <c r="C172" s="329"/>
      <c r="D172" s="329"/>
      <c r="E172" s="329"/>
      <c r="F172" s="329"/>
    </row>
    <row r="173" spans="1:7" ht="15">
      <c r="A173" s="471"/>
      <c r="B173" s="194" t="str">
        <f>'Coef. resumen'!$B$30</f>
        <v>Julián Antonelli</v>
      </c>
      <c r="C173" s="524"/>
      <c r="D173" s="524"/>
      <c r="E173" s="194" t="str">
        <f>'Coef. resumen'!$E$30</f>
        <v>Marcelo A. Pasquini</v>
      </c>
      <c r="F173" s="524"/>
    </row>
    <row r="174" spans="1:7" ht="15">
      <c r="A174" s="471"/>
      <c r="B174" s="194" t="str">
        <f>'Coef. resumen'!$B$31</f>
        <v>Ing. Civil M.P. 2161</v>
      </c>
      <c r="C174" s="524"/>
      <c r="D174" s="524"/>
      <c r="E174" s="194" t="str">
        <f>'Coef. resumen'!$E$31</f>
        <v>Socio Gerente</v>
      </c>
      <c r="F174" s="524"/>
    </row>
    <row r="175" spans="1:7" ht="15">
      <c r="A175" s="471"/>
      <c r="B175" s="194" t="str">
        <f>'Coef. resumen'!$B$32</f>
        <v>Representante Técnico</v>
      </c>
      <c r="C175" s="524"/>
      <c r="D175" s="19"/>
      <c r="E175" s="194" t="str">
        <f>'Coef. resumen'!$E$32</f>
        <v>Pasquini Construcciones SRL</v>
      </c>
      <c r="F175" s="524"/>
    </row>
    <row r="176" spans="1:7" ht="15">
      <c r="A176" s="471"/>
      <c r="B176" s="194"/>
      <c r="C176" s="329"/>
      <c r="D176" s="19"/>
      <c r="E176" s="194"/>
      <c r="F176" s="329"/>
    </row>
    <row r="177" spans="1:7" ht="14.1" customHeight="1">
      <c r="A177" s="477" t="s">
        <v>142</v>
      </c>
      <c r="B177" s="613" t="str">
        <f>Presupuesto!B25</f>
        <v>Provisión y colocación de Válvula esclusa ø 160</v>
      </c>
      <c r="C177" s="614"/>
      <c r="D177" s="615"/>
      <c r="E177" s="367" t="s">
        <v>143</v>
      </c>
      <c r="F177" s="30" t="str">
        <f>Presupuesto!C25</f>
        <v>Un</v>
      </c>
      <c r="G177" s="1"/>
    </row>
    <row r="178" spans="1:7" ht="14.1" customHeight="1">
      <c r="A178" s="622" t="str">
        <f>Presupuesto!A25</f>
        <v>1.2.1</v>
      </c>
      <c r="B178" s="616"/>
      <c r="C178" s="617"/>
      <c r="D178" s="618"/>
      <c r="E178" s="367"/>
      <c r="F178" s="367"/>
      <c r="G178" s="1"/>
    </row>
    <row r="179" spans="1:7" ht="14.1" customHeight="1">
      <c r="A179" s="622"/>
      <c r="B179" s="616"/>
      <c r="C179" s="617"/>
      <c r="D179" s="618"/>
      <c r="E179" s="367"/>
      <c r="F179" s="367"/>
      <c r="G179" s="1"/>
    </row>
    <row r="180" spans="1:7" ht="14.1" customHeight="1">
      <c r="A180" s="623"/>
      <c r="B180" s="619"/>
      <c r="C180" s="620"/>
      <c r="D180" s="621"/>
      <c r="E180" s="367"/>
      <c r="F180" s="367"/>
      <c r="G180" s="1"/>
    </row>
    <row r="181" spans="1:7" ht="14.1" customHeight="1">
      <c r="A181" s="478"/>
      <c r="B181" s="29"/>
      <c r="C181" s="368"/>
      <c r="D181" s="368"/>
      <c r="E181" s="365"/>
      <c r="F181" s="365"/>
      <c r="G181" s="1"/>
    </row>
    <row r="182" spans="1:7" ht="14.1" customHeight="1">
      <c r="A182" s="624" t="s">
        <v>144</v>
      </c>
      <c r="B182" s="624"/>
      <c r="C182" s="624"/>
      <c r="D182" s="624"/>
      <c r="E182" s="624"/>
      <c r="F182" s="624"/>
      <c r="G182" s="1"/>
    </row>
    <row r="183" spans="1:7" ht="14.1" customHeight="1">
      <c r="A183" s="479"/>
      <c r="B183" s="10"/>
      <c r="C183" s="327"/>
      <c r="D183" s="327"/>
      <c r="E183" s="327"/>
      <c r="F183" s="327"/>
      <c r="G183" s="1"/>
    </row>
    <row r="184" spans="1:7" ht="15.95" customHeight="1">
      <c r="A184" s="480" t="s">
        <v>145</v>
      </c>
      <c r="B184" s="11" t="s">
        <v>146</v>
      </c>
      <c r="C184" s="11" t="s">
        <v>147</v>
      </c>
      <c r="D184" s="11" t="s">
        <v>148</v>
      </c>
      <c r="E184" s="12" t="s">
        <v>149</v>
      </c>
      <c r="F184" s="11" t="s">
        <v>150</v>
      </c>
      <c r="G184" s="1"/>
    </row>
    <row r="185" spans="1:7" ht="14.1" customHeight="1">
      <c r="A185" s="480">
        <v>1</v>
      </c>
      <c r="B185" s="331" t="s">
        <v>1210</v>
      </c>
      <c r="C185" s="332" t="s">
        <v>3</v>
      </c>
      <c r="D185" s="332">
        <v>1</v>
      </c>
      <c r="E185" s="18">
        <f>'MAT 31-10-2013'!R226*1.5</f>
        <v>2363.5502754820936</v>
      </c>
      <c r="F185" s="375">
        <f>ROUND(D185*E185, 2)</f>
        <v>2363.5500000000002</v>
      </c>
      <c r="G185" s="1"/>
    </row>
    <row r="186" spans="1:7" ht="14.1" customHeight="1">
      <c r="A186" s="480">
        <v>2</v>
      </c>
      <c r="B186" s="331" t="s">
        <v>999</v>
      </c>
      <c r="C186" s="332" t="s">
        <v>3</v>
      </c>
      <c r="D186" s="332">
        <v>120</v>
      </c>
      <c r="E186" s="18">
        <f>'MAT 31-10-2013'!R$59</f>
        <v>2.3197887970615243</v>
      </c>
      <c r="F186" s="375">
        <f t="shared" ref="F186:F196" si="8">ROUND(D186*E186, 2)</f>
        <v>278.37</v>
      </c>
      <c r="G186" s="1"/>
    </row>
    <row r="187" spans="1:7" ht="14.1" customHeight="1">
      <c r="A187" s="480">
        <v>3</v>
      </c>
      <c r="B187" s="331" t="s">
        <v>1000</v>
      </c>
      <c r="C187" s="332" t="s">
        <v>53</v>
      </c>
      <c r="D187" s="332">
        <v>0.05</v>
      </c>
      <c r="E187" s="18">
        <f>'MAT 31-10-2013'!R$7</f>
        <v>39.059027777777771</v>
      </c>
      <c r="F187" s="375">
        <f t="shared" si="8"/>
        <v>1.95</v>
      </c>
      <c r="G187" s="1"/>
    </row>
    <row r="188" spans="1:7" ht="14.1" customHeight="1">
      <c r="A188" s="480">
        <v>4</v>
      </c>
      <c r="B188" s="331" t="s">
        <v>1001</v>
      </c>
      <c r="C188" s="332" t="s">
        <v>53</v>
      </c>
      <c r="D188" s="332">
        <v>0.33</v>
      </c>
      <c r="E188" s="18">
        <f>'MAT 31-10-2013'!R$5</f>
        <v>39.059027777777771</v>
      </c>
      <c r="F188" s="375">
        <f t="shared" si="8"/>
        <v>12.89</v>
      </c>
      <c r="G188" s="1"/>
    </row>
    <row r="189" spans="1:7" ht="14.1" customHeight="1">
      <c r="A189" s="480">
        <v>5</v>
      </c>
      <c r="B189" s="331" t="s">
        <v>1002</v>
      </c>
      <c r="C189" s="332" t="s">
        <v>362</v>
      </c>
      <c r="D189" s="332">
        <v>120</v>
      </c>
      <c r="E189" s="18">
        <f>'MAT 31-10-2013'!R$14</f>
        <v>1.013611111111111</v>
      </c>
      <c r="F189" s="375">
        <f t="shared" si="8"/>
        <v>121.63</v>
      </c>
      <c r="G189" s="1"/>
    </row>
    <row r="190" spans="1:7" ht="14.1" customHeight="1">
      <c r="A190" s="480">
        <v>6</v>
      </c>
      <c r="B190" s="331" t="s">
        <v>368</v>
      </c>
      <c r="C190" s="332" t="s">
        <v>362</v>
      </c>
      <c r="D190" s="332">
        <v>2.8</v>
      </c>
      <c r="E190" s="18">
        <f>'MAT 31-10-2013'!R$17</f>
        <v>5.232499999999999</v>
      </c>
      <c r="F190" s="375">
        <f t="shared" si="8"/>
        <v>14.65</v>
      </c>
      <c r="G190" s="1"/>
    </row>
    <row r="191" spans="1:7" ht="14.1" customHeight="1">
      <c r="A191" s="480">
        <v>7</v>
      </c>
      <c r="B191" s="331" t="s">
        <v>1003</v>
      </c>
      <c r="C191" s="332" t="s">
        <v>362</v>
      </c>
      <c r="D191" s="332">
        <v>6</v>
      </c>
      <c r="E191" s="18">
        <f>'MAT 31-10-2013'!R$32</f>
        <v>11.376875</v>
      </c>
      <c r="F191" s="375">
        <f t="shared" si="8"/>
        <v>68.260000000000005</v>
      </c>
      <c r="G191" s="1"/>
    </row>
    <row r="192" spans="1:7" ht="14.1" customHeight="1">
      <c r="A192" s="480">
        <v>8</v>
      </c>
      <c r="B192" s="331" t="s">
        <v>1017</v>
      </c>
      <c r="C192" s="332" t="s">
        <v>3</v>
      </c>
      <c r="D192" s="332">
        <v>1</v>
      </c>
      <c r="E192" s="18">
        <v>200</v>
      </c>
      <c r="F192" s="375">
        <f t="shared" si="8"/>
        <v>200</v>
      </c>
      <c r="G192" s="1"/>
    </row>
    <row r="193" spans="1:7" ht="14.1" customHeight="1">
      <c r="A193" s="480">
        <v>9</v>
      </c>
      <c r="B193" s="220"/>
      <c r="C193" s="324"/>
      <c r="D193" s="224"/>
      <c r="E193" s="18"/>
      <c r="F193" s="375">
        <f t="shared" si="8"/>
        <v>0</v>
      </c>
      <c r="G193" s="1"/>
    </row>
    <row r="194" spans="1:7" ht="14.1" customHeight="1">
      <c r="A194" s="480">
        <v>10</v>
      </c>
      <c r="B194" s="13"/>
      <c r="C194" s="11"/>
      <c r="D194" s="14"/>
      <c r="E194" s="18"/>
      <c r="F194" s="375">
        <f t="shared" si="8"/>
        <v>0</v>
      </c>
      <c r="G194" s="1"/>
    </row>
    <row r="195" spans="1:7" ht="14.1" customHeight="1">
      <c r="A195" s="480">
        <v>11</v>
      </c>
      <c r="B195" s="13"/>
      <c r="C195" s="11"/>
      <c r="D195" s="11"/>
      <c r="E195" s="18"/>
      <c r="F195" s="375">
        <f t="shared" si="8"/>
        <v>0</v>
      </c>
      <c r="G195" s="1"/>
    </row>
    <row r="196" spans="1:7" ht="14.1" customHeight="1" thickBot="1">
      <c r="A196" s="480">
        <v>12</v>
      </c>
      <c r="B196" s="13"/>
      <c r="C196" s="11"/>
      <c r="D196" s="11"/>
      <c r="E196" s="18"/>
      <c r="F196" s="375">
        <f t="shared" si="8"/>
        <v>0</v>
      </c>
      <c r="G196" s="1"/>
    </row>
    <row r="197" spans="1:7" ht="14.1" customHeight="1" thickBot="1">
      <c r="A197" s="481"/>
      <c r="B197" s="5"/>
      <c r="C197" s="367"/>
      <c r="D197" s="367"/>
      <c r="E197" s="367" t="s">
        <v>151</v>
      </c>
      <c r="F197" s="376">
        <f>SUM(F185:F196)</f>
        <v>3061.3</v>
      </c>
      <c r="G197" s="1"/>
    </row>
    <row r="198" spans="1:7" ht="14.1" customHeight="1">
      <c r="A198" s="482"/>
      <c r="B198" s="21"/>
      <c r="C198" s="328"/>
      <c r="D198" s="328"/>
      <c r="E198" s="328"/>
      <c r="F198" s="328"/>
      <c r="G198" s="1"/>
    </row>
    <row r="199" spans="1:7" ht="14.1" customHeight="1">
      <c r="A199" s="625" t="s">
        <v>152</v>
      </c>
      <c r="B199" s="625"/>
      <c r="C199" s="625"/>
      <c r="D199" s="625"/>
      <c r="E199" s="625"/>
      <c r="F199" s="625"/>
      <c r="G199" s="1"/>
    </row>
    <row r="200" spans="1:7" ht="14.1" customHeight="1">
      <c r="A200" s="482"/>
      <c r="B200" s="21"/>
      <c r="C200" s="328"/>
      <c r="D200" s="328"/>
      <c r="E200" s="328"/>
      <c r="F200" s="367"/>
      <c r="G200" s="1"/>
    </row>
    <row r="201" spans="1:7" ht="14.1" customHeight="1">
      <c r="A201" s="480">
        <v>13</v>
      </c>
      <c r="B201" s="17" t="s">
        <v>153</v>
      </c>
      <c r="C201" s="11" t="s">
        <v>154</v>
      </c>
      <c r="D201" s="330">
        <v>0</v>
      </c>
      <c r="E201" s="18">
        <f>'Mano de obra'!$J$20</f>
        <v>82.610000000000014</v>
      </c>
      <c r="F201" s="375">
        <f>ROUND(D201*E201, 2)</f>
        <v>0</v>
      </c>
      <c r="G201" s="1"/>
    </row>
    <row r="202" spans="1:7" ht="14.1" customHeight="1">
      <c r="A202" s="480">
        <v>14</v>
      </c>
      <c r="B202" s="17" t="s">
        <v>155</v>
      </c>
      <c r="C202" s="11" t="s">
        <v>154</v>
      </c>
      <c r="D202" s="330">
        <v>8</v>
      </c>
      <c r="E202" s="18">
        <f>'Mano de obra'!$J$21</f>
        <v>70.38</v>
      </c>
      <c r="F202" s="375">
        <f t="shared" ref="F202:F205" si="9">ROUND(D202*E202, 2)</f>
        <v>563.04</v>
      </c>
      <c r="G202" s="1"/>
    </row>
    <row r="203" spans="1:7" ht="14.1" customHeight="1">
      <c r="A203" s="480">
        <v>15</v>
      </c>
      <c r="B203" s="17" t="s">
        <v>156</v>
      </c>
      <c r="C203" s="11" t="s">
        <v>154</v>
      </c>
      <c r="D203" s="330">
        <v>0</v>
      </c>
      <c r="E203" s="18">
        <f>'Mano de obra'!$J$22</f>
        <v>64.78</v>
      </c>
      <c r="F203" s="375">
        <f t="shared" si="9"/>
        <v>0</v>
      </c>
      <c r="G203" s="1"/>
    </row>
    <row r="204" spans="1:7" ht="14.1" customHeight="1">
      <c r="A204" s="480">
        <v>16</v>
      </c>
      <c r="B204" s="17" t="s">
        <v>157</v>
      </c>
      <c r="C204" s="11" t="s">
        <v>154</v>
      </c>
      <c r="D204" s="330">
        <v>16</v>
      </c>
      <c r="E204" s="18">
        <f>'Mano de obra'!$J$23</f>
        <v>59.800000000000004</v>
      </c>
      <c r="F204" s="375">
        <f t="shared" si="9"/>
        <v>956.8</v>
      </c>
      <c r="G204" s="1"/>
    </row>
    <row r="205" spans="1:7" ht="14.1" customHeight="1" thickBot="1">
      <c r="A205" s="480">
        <v>17</v>
      </c>
      <c r="B205" s="13"/>
      <c r="C205" s="11"/>
      <c r="D205" s="11"/>
      <c r="E205" s="18"/>
      <c r="F205" s="375">
        <f t="shared" si="9"/>
        <v>0</v>
      </c>
      <c r="G205" s="1"/>
    </row>
    <row r="206" spans="1:7" ht="14.1" customHeight="1" thickBot="1">
      <c r="A206" s="483"/>
      <c r="B206" s="21"/>
      <c r="C206" s="328"/>
      <c r="D206" s="328"/>
      <c r="E206" s="367" t="s">
        <v>158</v>
      </c>
      <c r="F206" s="376">
        <f>SUM(F201:F205)</f>
        <v>1519.84</v>
      </c>
      <c r="G206" s="1"/>
    </row>
    <row r="207" spans="1:7" ht="14.1" customHeight="1" thickBot="1">
      <c r="A207" s="484"/>
      <c r="B207" s="21"/>
      <c r="C207" s="328"/>
      <c r="D207" s="328"/>
      <c r="E207" s="328"/>
      <c r="F207" s="367"/>
      <c r="G207" s="1"/>
    </row>
    <row r="208" spans="1:7" ht="14.1" customHeight="1" thickBot="1">
      <c r="A208" s="480"/>
      <c r="B208" s="142" t="s">
        <v>273</v>
      </c>
      <c r="C208" s="369"/>
      <c r="D208" s="369"/>
      <c r="E208" s="377" t="s">
        <v>159</v>
      </c>
      <c r="F208" s="376">
        <f>SUM(F197+F206)</f>
        <v>4581.1400000000003</v>
      </c>
      <c r="G208" s="1"/>
    </row>
    <row r="209" spans="1:7" ht="15" customHeight="1">
      <c r="A209" s="626"/>
      <c r="B209" s="627" t="s">
        <v>274</v>
      </c>
      <c r="C209" s="628"/>
      <c r="D209" s="628"/>
      <c r="E209" s="629" t="s">
        <v>275</v>
      </c>
      <c r="F209" s="631">
        <f>ROUND(F208*'Coef. resumen'!$F$23, 2)</f>
        <v>6789.25</v>
      </c>
    </row>
    <row r="210" spans="1:7" ht="15" customHeight="1" thickBot="1">
      <c r="A210" s="626"/>
      <c r="B210" s="627"/>
      <c r="C210" s="628"/>
      <c r="D210" s="628"/>
      <c r="E210" s="630"/>
      <c r="F210" s="632"/>
    </row>
    <row r="211" spans="1:7" ht="15">
      <c r="A211" s="471"/>
      <c r="B211" s="2"/>
      <c r="C211" s="329"/>
      <c r="D211" s="329"/>
      <c r="E211" s="329"/>
      <c r="F211" s="329"/>
    </row>
    <row r="212" spans="1:7" ht="15">
      <c r="A212" s="471"/>
      <c r="B212" s="2"/>
      <c r="C212" s="329"/>
      <c r="D212" s="329"/>
      <c r="E212" s="329"/>
      <c r="F212" s="329"/>
    </row>
    <row r="213" spans="1:7" ht="15">
      <c r="A213" s="471"/>
      <c r="B213" s="194" t="str">
        <f>'Coef. resumen'!$B$30</f>
        <v>Julián Antonelli</v>
      </c>
      <c r="C213" s="524"/>
      <c r="D213" s="524"/>
      <c r="E213" s="194" t="str">
        <f>'Coef. resumen'!$E$30</f>
        <v>Marcelo A. Pasquini</v>
      </c>
      <c r="F213" s="524"/>
    </row>
    <row r="214" spans="1:7" ht="15">
      <c r="A214" s="471"/>
      <c r="B214" s="194" t="str">
        <f>'Coef. resumen'!$B$31</f>
        <v>Ing. Civil M.P. 2161</v>
      </c>
      <c r="C214" s="524"/>
      <c r="D214" s="524"/>
      <c r="E214" s="194" t="str">
        <f>'Coef. resumen'!$E$31</f>
        <v>Socio Gerente</v>
      </c>
      <c r="F214" s="524"/>
    </row>
    <row r="215" spans="1:7" ht="15">
      <c r="A215" s="471"/>
      <c r="B215" s="194" t="str">
        <f>'Coef. resumen'!$B$32</f>
        <v>Representante Técnico</v>
      </c>
      <c r="C215" s="524"/>
      <c r="D215" s="19"/>
      <c r="E215" s="194" t="str">
        <f>'Coef. resumen'!$E$32</f>
        <v>Pasquini Construcciones SRL</v>
      </c>
      <c r="F215" s="524"/>
    </row>
    <row r="216" spans="1:7" ht="15">
      <c r="A216" s="471"/>
      <c r="B216" s="194"/>
      <c r="C216" s="329"/>
      <c r="D216" s="19"/>
      <c r="E216" s="194"/>
      <c r="F216" s="329"/>
    </row>
    <row r="217" spans="1:7" ht="14.1" customHeight="1">
      <c r="A217" s="477" t="s">
        <v>142</v>
      </c>
      <c r="B217" s="613" t="str">
        <f>Presupuesto!B26:B26</f>
        <v>Provisión y colocación de Válvula esclusa ø 110</v>
      </c>
      <c r="C217" s="614"/>
      <c r="D217" s="615"/>
      <c r="E217" s="367" t="s">
        <v>143</v>
      </c>
      <c r="F217" s="30" t="str">
        <f>Presupuesto!C26</f>
        <v>Un</v>
      </c>
      <c r="G217" s="1"/>
    </row>
    <row r="218" spans="1:7" ht="14.1" customHeight="1">
      <c r="A218" s="622" t="str">
        <f>Presupuesto!A26</f>
        <v>1.2.2</v>
      </c>
      <c r="B218" s="616"/>
      <c r="C218" s="617"/>
      <c r="D218" s="618"/>
      <c r="E218" s="367"/>
      <c r="F218" s="367"/>
      <c r="G218" s="1"/>
    </row>
    <row r="219" spans="1:7" ht="14.1" customHeight="1">
      <c r="A219" s="622"/>
      <c r="B219" s="616"/>
      <c r="C219" s="617"/>
      <c r="D219" s="618"/>
      <c r="E219" s="367"/>
      <c r="F219" s="367"/>
      <c r="G219" s="1"/>
    </row>
    <row r="220" spans="1:7" ht="14.1" customHeight="1">
      <c r="A220" s="623"/>
      <c r="B220" s="619"/>
      <c r="C220" s="620"/>
      <c r="D220" s="621"/>
      <c r="E220" s="367"/>
      <c r="F220" s="367"/>
      <c r="G220" s="1"/>
    </row>
    <row r="221" spans="1:7" ht="14.1" customHeight="1">
      <c r="A221" s="478"/>
      <c r="B221" s="29"/>
      <c r="C221" s="368"/>
      <c r="D221" s="368"/>
      <c r="E221" s="365"/>
      <c r="F221" s="365"/>
      <c r="G221" s="1"/>
    </row>
    <row r="222" spans="1:7" ht="14.1" customHeight="1">
      <c r="A222" s="624" t="s">
        <v>144</v>
      </c>
      <c r="B222" s="624"/>
      <c r="C222" s="624"/>
      <c r="D222" s="624"/>
      <c r="E222" s="624"/>
      <c r="F222" s="624"/>
      <c r="G222" s="1"/>
    </row>
    <row r="223" spans="1:7" ht="14.1" customHeight="1">
      <c r="A223" s="479"/>
      <c r="B223" s="10"/>
      <c r="C223" s="327"/>
      <c r="D223" s="327"/>
      <c r="E223" s="327"/>
      <c r="F223" s="327"/>
      <c r="G223" s="1"/>
    </row>
    <row r="224" spans="1:7" ht="15.95" customHeight="1">
      <c r="A224" s="480" t="s">
        <v>145</v>
      </c>
      <c r="B224" s="11" t="s">
        <v>146</v>
      </c>
      <c r="C224" s="11" t="s">
        <v>147</v>
      </c>
      <c r="D224" s="11" t="s">
        <v>148</v>
      </c>
      <c r="E224" s="12" t="s">
        <v>149</v>
      </c>
      <c r="F224" s="11" t="s">
        <v>150</v>
      </c>
      <c r="G224" s="1"/>
    </row>
    <row r="225" spans="1:7" ht="14.1" customHeight="1">
      <c r="A225" s="480">
        <v>1</v>
      </c>
      <c r="B225" s="331" t="s">
        <v>1211</v>
      </c>
      <c r="C225" s="332" t="s">
        <v>3</v>
      </c>
      <c r="D225" s="332">
        <v>1</v>
      </c>
      <c r="E225" s="18">
        <f>'MAT 31-10-2013'!R226</f>
        <v>1575.7001836547292</v>
      </c>
      <c r="F225" s="375">
        <f>ROUND(D225*E225, 2)</f>
        <v>1575.7</v>
      </c>
      <c r="G225" s="1"/>
    </row>
    <row r="226" spans="1:7" ht="14.1" customHeight="1">
      <c r="A226" s="480">
        <v>2</v>
      </c>
      <c r="B226" s="331" t="s">
        <v>999</v>
      </c>
      <c r="C226" s="332" t="s">
        <v>3</v>
      </c>
      <c r="D226" s="332">
        <v>120</v>
      </c>
      <c r="E226" s="18">
        <f>'MAT 31-10-2013'!R$59</f>
        <v>2.3197887970615243</v>
      </c>
      <c r="F226" s="375">
        <f t="shared" ref="F226:F236" si="10">ROUND(D226*E226, 2)</f>
        <v>278.37</v>
      </c>
      <c r="G226" s="1"/>
    </row>
    <row r="227" spans="1:7" ht="14.1" customHeight="1">
      <c r="A227" s="480">
        <v>3</v>
      </c>
      <c r="B227" s="331" t="s">
        <v>1000</v>
      </c>
      <c r="C227" s="332" t="s">
        <v>53</v>
      </c>
      <c r="D227" s="332">
        <v>0.05</v>
      </c>
      <c r="E227" s="18">
        <f>'MAT 31-10-2013'!R$7</f>
        <v>39.059027777777771</v>
      </c>
      <c r="F227" s="375">
        <f t="shared" si="10"/>
        <v>1.95</v>
      </c>
      <c r="G227" s="1"/>
    </row>
    <row r="228" spans="1:7" ht="14.1" customHeight="1">
      <c r="A228" s="480">
        <v>4</v>
      </c>
      <c r="B228" s="331" t="s">
        <v>1001</v>
      </c>
      <c r="C228" s="332" t="s">
        <v>53</v>
      </c>
      <c r="D228" s="332">
        <v>0.33</v>
      </c>
      <c r="E228" s="18">
        <f>'MAT 31-10-2013'!R$5</f>
        <v>39.059027777777771</v>
      </c>
      <c r="F228" s="375">
        <f t="shared" si="10"/>
        <v>12.89</v>
      </c>
      <c r="G228" s="1"/>
    </row>
    <row r="229" spans="1:7" ht="14.1" customHeight="1">
      <c r="A229" s="480">
        <v>5</v>
      </c>
      <c r="B229" s="331" t="s">
        <v>1002</v>
      </c>
      <c r="C229" s="332" t="s">
        <v>362</v>
      </c>
      <c r="D229" s="332">
        <v>120</v>
      </c>
      <c r="E229" s="18">
        <f>'MAT 31-10-2013'!R$14</f>
        <v>1.013611111111111</v>
      </c>
      <c r="F229" s="375">
        <f t="shared" si="10"/>
        <v>121.63</v>
      </c>
      <c r="G229" s="1"/>
    </row>
    <row r="230" spans="1:7" ht="14.1" customHeight="1">
      <c r="A230" s="480">
        <v>6</v>
      </c>
      <c r="B230" s="331" t="s">
        <v>368</v>
      </c>
      <c r="C230" s="332" t="s">
        <v>362</v>
      </c>
      <c r="D230" s="332">
        <v>2.8</v>
      </c>
      <c r="E230" s="18">
        <f>'MAT 31-10-2013'!R$17</f>
        <v>5.232499999999999</v>
      </c>
      <c r="F230" s="375">
        <f t="shared" si="10"/>
        <v>14.65</v>
      </c>
      <c r="G230" s="1"/>
    </row>
    <row r="231" spans="1:7" ht="14.1" customHeight="1">
      <c r="A231" s="480">
        <v>7</v>
      </c>
      <c r="B231" s="331" t="s">
        <v>1003</v>
      </c>
      <c r="C231" s="332" t="s">
        <v>362</v>
      </c>
      <c r="D231" s="332">
        <v>6</v>
      </c>
      <c r="E231" s="18">
        <f>'MAT 31-10-2013'!R$32</f>
        <v>11.376875</v>
      </c>
      <c r="F231" s="375">
        <f t="shared" si="10"/>
        <v>68.260000000000005</v>
      </c>
      <c r="G231" s="1"/>
    </row>
    <row r="232" spans="1:7" ht="14.1" customHeight="1">
      <c r="A232" s="480">
        <v>8</v>
      </c>
      <c r="B232" s="331" t="s">
        <v>1017</v>
      </c>
      <c r="C232" s="332" t="s">
        <v>3</v>
      </c>
      <c r="D232" s="332">
        <v>1</v>
      </c>
      <c r="E232" s="18">
        <v>300</v>
      </c>
      <c r="F232" s="375">
        <f t="shared" si="10"/>
        <v>300</v>
      </c>
      <c r="G232" s="1"/>
    </row>
    <row r="233" spans="1:7" ht="14.1" customHeight="1">
      <c r="A233" s="480">
        <v>9</v>
      </c>
      <c r="B233" s="220"/>
      <c r="C233" s="324"/>
      <c r="D233" s="224"/>
      <c r="E233" s="18"/>
      <c r="F233" s="375">
        <f t="shared" si="10"/>
        <v>0</v>
      </c>
      <c r="G233" s="1"/>
    </row>
    <row r="234" spans="1:7" ht="14.1" customHeight="1">
      <c r="A234" s="480">
        <v>10</v>
      </c>
      <c r="B234" s="13"/>
      <c r="C234" s="11"/>
      <c r="D234" s="14"/>
      <c r="E234" s="18"/>
      <c r="F234" s="375">
        <f t="shared" si="10"/>
        <v>0</v>
      </c>
      <c r="G234" s="1"/>
    </row>
    <row r="235" spans="1:7" ht="14.1" customHeight="1">
      <c r="A235" s="480">
        <v>11</v>
      </c>
      <c r="B235" s="13"/>
      <c r="C235" s="11"/>
      <c r="D235" s="11"/>
      <c r="E235" s="18"/>
      <c r="F235" s="375">
        <f t="shared" si="10"/>
        <v>0</v>
      </c>
      <c r="G235" s="1"/>
    </row>
    <row r="236" spans="1:7" ht="14.1" customHeight="1" thickBot="1">
      <c r="A236" s="480">
        <v>12</v>
      </c>
      <c r="B236" s="13"/>
      <c r="C236" s="11"/>
      <c r="D236" s="11"/>
      <c r="E236" s="18"/>
      <c r="F236" s="375">
        <f t="shared" si="10"/>
        <v>0</v>
      </c>
      <c r="G236" s="1"/>
    </row>
    <row r="237" spans="1:7" ht="14.1" customHeight="1" thickBot="1">
      <c r="A237" s="481"/>
      <c r="B237" s="5"/>
      <c r="C237" s="367"/>
      <c r="D237" s="367"/>
      <c r="E237" s="367" t="s">
        <v>151</v>
      </c>
      <c r="F237" s="376">
        <f>SUM(F225:F236)</f>
        <v>2373.4500000000007</v>
      </c>
      <c r="G237" s="1"/>
    </row>
    <row r="238" spans="1:7" ht="14.1" customHeight="1">
      <c r="A238" s="482"/>
      <c r="B238" s="325"/>
      <c r="C238" s="328"/>
      <c r="D238" s="328"/>
      <c r="E238" s="328"/>
      <c r="F238" s="328"/>
      <c r="G238" s="1"/>
    </row>
    <row r="239" spans="1:7" ht="14.1" customHeight="1">
      <c r="A239" s="625" t="s">
        <v>152</v>
      </c>
      <c r="B239" s="625"/>
      <c r="C239" s="625"/>
      <c r="D239" s="625"/>
      <c r="E239" s="625"/>
      <c r="F239" s="625"/>
      <c r="G239" s="1"/>
    </row>
    <row r="240" spans="1:7" ht="14.1" customHeight="1">
      <c r="A240" s="482"/>
      <c r="B240" s="325"/>
      <c r="C240" s="328"/>
      <c r="D240" s="328"/>
      <c r="E240" s="328"/>
      <c r="F240" s="367"/>
      <c r="G240" s="1"/>
    </row>
    <row r="241" spans="1:7" ht="14.1" customHeight="1">
      <c r="A241" s="480">
        <v>13</v>
      </c>
      <c r="B241" s="17" t="s">
        <v>153</v>
      </c>
      <c r="C241" s="11" t="s">
        <v>154</v>
      </c>
      <c r="D241" s="330">
        <v>0</v>
      </c>
      <c r="E241" s="18">
        <f>'Mano de obra'!$J$20</f>
        <v>82.610000000000014</v>
      </c>
      <c r="F241" s="375">
        <f>ROUND(D241*E241, 2)</f>
        <v>0</v>
      </c>
      <c r="G241" s="1"/>
    </row>
    <row r="242" spans="1:7" ht="14.1" customHeight="1">
      <c r="A242" s="480">
        <v>14</v>
      </c>
      <c r="B242" s="17" t="s">
        <v>155</v>
      </c>
      <c r="C242" s="11" t="s">
        <v>154</v>
      </c>
      <c r="D242" s="330">
        <v>8</v>
      </c>
      <c r="E242" s="18">
        <f>'Mano de obra'!$J$21</f>
        <v>70.38</v>
      </c>
      <c r="F242" s="375">
        <f t="shared" ref="F242:F245" si="11">ROUND(D242*E242, 2)</f>
        <v>563.04</v>
      </c>
      <c r="G242" s="1"/>
    </row>
    <row r="243" spans="1:7" ht="14.1" customHeight="1">
      <c r="A243" s="480">
        <v>15</v>
      </c>
      <c r="B243" s="17" t="s">
        <v>156</v>
      </c>
      <c r="C243" s="11" t="s">
        <v>154</v>
      </c>
      <c r="D243" s="330">
        <v>0</v>
      </c>
      <c r="E243" s="18">
        <f>'Mano de obra'!$J$22</f>
        <v>64.78</v>
      </c>
      <c r="F243" s="375">
        <f t="shared" si="11"/>
        <v>0</v>
      </c>
      <c r="G243" s="1"/>
    </row>
    <row r="244" spans="1:7" ht="14.1" customHeight="1">
      <c r="A244" s="480">
        <v>16</v>
      </c>
      <c r="B244" s="17" t="s">
        <v>157</v>
      </c>
      <c r="C244" s="11" t="s">
        <v>154</v>
      </c>
      <c r="D244" s="330">
        <v>16</v>
      </c>
      <c r="E244" s="18">
        <f>'Mano de obra'!$J$23</f>
        <v>59.800000000000004</v>
      </c>
      <c r="F244" s="375">
        <f t="shared" si="11"/>
        <v>956.8</v>
      </c>
      <c r="G244" s="1"/>
    </row>
    <row r="245" spans="1:7" ht="14.1" customHeight="1" thickBot="1">
      <c r="A245" s="480">
        <v>17</v>
      </c>
      <c r="B245" s="13"/>
      <c r="C245" s="11"/>
      <c r="D245" s="11"/>
      <c r="E245" s="18"/>
      <c r="F245" s="375">
        <f t="shared" si="11"/>
        <v>0</v>
      </c>
      <c r="G245" s="1"/>
    </row>
    <row r="246" spans="1:7" ht="14.1" customHeight="1" thickBot="1">
      <c r="A246" s="483"/>
      <c r="B246" s="325"/>
      <c r="C246" s="328"/>
      <c r="D246" s="328"/>
      <c r="E246" s="367" t="s">
        <v>158</v>
      </c>
      <c r="F246" s="376">
        <f>SUM(F241:F245)</f>
        <v>1519.84</v>
      </c>
      <c r="G246" s="1"/>
    </row>
    <row r="247" spans="1:7" ht="14.1" customHeight="1" thickBot="1">
      <c r="A247" s="484"/>
      <c r="B247" s="325"/>
      <c r="C247" s="328"/>
      <c r="D247" s="328"/>
      <c r="E247" s="328"/>
      <c r="F247" s="367"/>
      <c r="G247" s="1"/>
    </row>
    <row r="248" spans="1:7" ht="14.1" customHeight="1" thickBot="1">
      <c r="A248" s="480"/>
      <c r="B248" s="142" t="s">
        <v>273</v>
      </c>
      <c r="C248" s="369"/>
      <c r="D248" s="369"/>
      <c r="E248" s="377" t="s">
        <v>159</v>
      </c>
      <c r="F248" s="376">
        <f>SUM(F237+F246)</f>
        <v>3893.2900000000009</v>
      </c>
      <c r="G248" s="1"/>
    </row>
    <row r="249" spans="1:7" ht="15" customHeight="1">
      <c r="A249" s="626"/>
      <c r="B249" s="627" t="s">
        <v>274</v>
      </c>
      <c r="C249" s="628"/>
      <c r="D249" s="628"/>
      <c r="E249" s="629" t="s">
        <v>275</v>
      </c>
      <c r="F249" s="631">
        <f>ROUND(F248*'Coef. resumen'!$F$23, 2)</f>
        <v>5769.86</v>
      </c>
    </row>
    <row r="250" spans="1:7" ht="15" customHeight="1" thickBot="1">
      <c r="A250" s="626"/>
      <c r="B250" s="627"/>
      <c r="C250" s="628"/>
      <c r="D250" s="628"/>
      <c r="E250" s="630"/>
      <c r="F250" s="632"/>
    </row>
    <row r="251" spans="1:7" ht="15">
      <c r="A251" s="471"/>
      <c r="B251" s="2"/>
      <c r="C251" s="329"/>
      <c r="D251" s="329"/>
      <c r="E251" s="329"/>
      <c r="F251" s="329"/>
    </row>
    <row r="252" spans="1:7" ht="15">
      <c r="A252" s="471"/>
      <c r="B252" s="2"/>
      <c r="C252" s="329"/>
      <c r="D252" s="329"/>
      <c r="E252" s="329"/>
      <c r="F252" s="329"/>
    </row>
    <row r="253" spans="1:7" ht="15">
      <c r="A253" s="471"/>
      <c r="B253" s="194" t="str">
        <f>'Coef. resumen'!$B$30</f>
        <v>Julián Antonelli</v>
      </c>
      <c r="C253" s="524"/>
      <c r="D253" s="524"/>
      <c r="E253" s="194" t="str">
        <f>'Coef. resumen'!$E$30</f>
        <v>Marcelo A. Pasquini</v>
      </c>
      <c r="F253" s="524"/>
    </row>
    <row r="254" spans="1:7" ht="15">
      <c r="A254" s="471"/>
      <c r="B254" s="194" t="str">
        <f>'Coef. resumen'!$B$31</f>
        <v>Ing. Civil M.P. 2161</v>
      </c>
      <c r="C254" s="524"/>
      <c r="D254" s="524"/>
      <c r="E254" s="194" t="str">
        <f>'Coef. resumen'!$E$31</f>
        <v>Socio Gerente</v>
      </c>
      <c r="F254" s="524"/>
    </row>
    <row r="255" spans="1:7" ht="15">
      <c r="A255" s="471"/>
      <c r="B255" s="194" t="str">
        <f>'Coef. resumen'!$B$32</f>
        <v>Representante Técnico</v>
      </c>
      <c r="C255" s="524"/>
      <c r="D255" s="19"/>
      <c r="E255" s="194" t="str">
        <f>'Coef. resumen'!$E$32</f>
        <v>Pasquini Construcciones SRL</v>
      </c>
      <c r="F255" s="524"/>
    </row>
    <row r="256" spans="1:7" ht="15">
      <c r="A256" s="471"/>
      <c r="B256" s="194"/>
      <c r="C256" s="329"/>
      <c r="D256" s="19"/>
      <c r="E256" s="194"/>
      <c r="F256" s="329"/>
    </row>
    <row r="257" spans="1:7" ht="14.1" customHeight="1">
      <c r="A257" s="477" t="s">
        <v>142</v>
      </c>
      <c r="B257" s="613" t="str">
        <f>Presupuesto!B27</f>
        <v>Provisión y colocación de Válvula esclusa ø 75</v>
      </c>
      <c r="C257" s="614"/>
      <c r="D257" s="615"/>
      <c r="E257" s="367" t="s">
        <v>143</v>
      </c>
      <c r="F257" s="30" t="str">
        <f>Presupuesto!C27</f>
        <v>Un</v>
      </c>
      <c r="G257" s="1"/>
    </row>
    <row r="258" spans="1:7" ht="14.1" customHeight="1">
      <c r="A258" s="622" t="str">
        <f>Presupuesto!A27</f>
        <v>1.2.3</v>
      </c>
      <c r="B258" s="616"/>
      <c r="C258" s="617"/>
      <c r="D258" s="618"/>
      <c r="E258" s="367"/>
      <c r="F258" s="367"/>
      <c r="G258" s="1"/>
    </row>
    <row r="259" spans="1:7" ht="14.1" customHeight="1">
      <c r="A259" s="622"/>
      <c r="B259" s="616"/>
      <c r="C259" s="617"/>
      <c r="D259" s="618"/>
      <c r="E259" s="367"/>
      <c r="F259" s="367"/>
      <c r="G259" s="1"/>
    </row>
    <row r="260" spans="1:7" ht="14.1" customHeight="1">
      <c r="A260" s="623"/>
      <c r="B260" s="619"/>
      <c r="C260" s="620"/>
      <c r="D260" s="621"/>
      <c r="E260" s="367"/>
      <c r="F260" s="367"/>
      <c r="G260" s="1"/>
    </row>
    <row r="261" spans="1:7" ht="14.1" customHeight="1">
      <c r="A261" s="478"/>
      <c r="B261" s="29"/>
      <c r="C261" s="368"/>
      <c r="D261" s="368"/>
      <c r="E261" s="365"/>
      <c r="F261" s="365"/>
      <c r="G261" s="1"/>
    </row>
    <row r="262" spans="1:7" ht="14.1" customHeight="1">
      <c r="A262" s="624" t="s">
        <v>144</v>
      </c>
      <c r="B262" s="624"/>
      <c r="C262" s="624"/>
      <c r="D262" s="624"/>
      <c r="E262" s="624"/>
      <c r="F262" s="624"/>
      <c r="G262" s="1"/>
    </row>
    <row r="263" spans="1:7" ht="14.1" customHeight="1">
      <c r="A263" s="479"/>
      <c r="B263" s="10"/>
      <c r="C263" s="327"/>
      <c r="D263" s="327"/>
      <c r="E263" s="327"/>
      <c r="F263" s="327"/>
      <c r="G263" s="1"/>
    </row>
    <row r="264" spans="1:7" ht="15.95" customHeight="1">
      <c r="A264" s="480" t="s">
        <v>145</v>
      </c>
      <c r="B264" s="11" t="s">
        <v>146</v>
      </c>
      <c r="C264" s="11" t="s">
        <v>147</v>
      </c>
      <c r="D264" s="11" t="s">
        <v>148</v>
      </c>
      <c r="E264" s="12" t="s">
        <v>149</v>
      </c>
      <c r="F264" s="11" t="s">
        <v>150</v>
      </c>
      <c r="G264" s="1"/>
    </row>
    <row r="265" spans="1:7" ht="14.1" customHeight="1">
      <c r="A265" s="480">
        <v>1</v>
      </c>
      <c r="B265" s="331" t="s">
        <v>1212</v>
      </c>
      <c r="C265" s="332" t="s">
        <v>3</v>
      </c>
      <c r="D265" s="332">
        <v>1</v>
      </c>
      <c r="E265" s="18">
        <f>'MAT 31-10-2013'!R225</f>
        <v>995.17906336088174</v>
      </c>
      <c r="F265" s="375">
        <f>ROUND(D265*E265, 2)</f>
        <v>995.18</v>
      </c>
      <c r="G265" s="1"/>
    </row>
    <row r="266" spans="1:7" ht="14.1" customHeight="1">
      <c r="A266" s="480">
        <v>2</v>
      </c>
      <c r="B266" s="331" t="s">
        <v>999</v>
      </c>
      <c r="C266" s="332" t="s">
        <v>3</v>
      </c>
      <c r="D266" s="332">
        <v>120</v>
      </c>
      <c r="E266" s="18">
        <f>'MAT 31-10-2013'!R$59</f>
        <v>2.3197887970615243</v>
      </c>
      <c r="F266" s="375">
        <f t="shared" ref="F266:F276" si="12">ROUND(D266*E266, 2)</f>
        <v>278.37</v>
      </c>
      <c r="G266" s="1"/>
    </row>
    <row r="267" spans="1:7" ht="14.1" customHeight="1">
      <c r="A267" s="480">
        <v>3</v>
      </c>
      <c r="B267" s="331" t="s">
        <v>1000</v>
      </c>
      <c r="C267" s="332" t="s">
        <v>53</v>
      </c>
      <c r="D267" s="332">
        <v>0.05</v>
      </c>
      <c r="E267" s="18">
        <f>'MAT 31-10-2013'!R$7</f>
        <v>39.059027777777771</v>
      </c>
      <c r="F267" s="375">
        <f t="shared" si="12"/>
        <v>1.95</v>
      </c>
      <c r="G267" s="1"/>
    </row>
    <row r="268" spans="1:7" ht="14.1" customHeight="1">
      <c r="A268" s="480">
        <v>4</v>
      </c>
      <c r="B268" s="331" t="s">
        <v>1001</v>
      </c>
      <c r="C268" s="332" t="s">
        <v>53</v>
      </c>
      <c r="D268" s="332">
        <v>0.33</v>
      </c>
      <c r="E268" s="18">
        <f>'MAT 31-10-2013'!R$5</f>
        <v>39.059027777777771</v>
      </c>
      <c r="F268" s="375">
        <f t="shared" si="12"/>
        <v>12.89</v>
      </c>
      <c r="G268" s="1"/>
    </row>
    <row r="269" spans="1:7" ht="14.1" customHeight="1">
      <c r="A269" s="480">
        <v>5</v>
      </c>
      <c r="B269" s="331" t="s">
        <v>1002</v>
      </c>
      <c r="C269" s="332" t="s">
        <v>362</v>
      </c>
      <c r="D269" s="332">
        <v>120</v>
      </c>
      <c r="E269" s="18">
        <f>'MAT 31-10-2013'!R$14</f>
        <v>1.013611111111111</v>
      </c>
      <c r="F269" s="375">
        <f t="shared" si="12"/>
        <v>121.63</v>
      </c>
      <c r="G269" s="1"/>
    </row>
    <row r="270" spans="1:7" ht="14.1" customHeight="1">
      <c r="A270" s="480">
        <v>6</v>
      </c>
      <c r="B270" s="331" t="s">
        <v>368</v>
      </c>
      <c r="C270" s="332" t="s">
        <v>362</v>
      </c>
      <c r="D270" s="332">
        <v>2.8</v>
      </c>
      <c r="E270" s="18">
        <f>'MAT 31-10-2013'!R$17</f>
        <v>5.232499999999999</v>
      </c>
      <c r="F270" s="375">
        <f t="shared" si="12"/>
        <v>14.65</v>
      </c>
      <c r="G270" s="1"/>
    </row>
    <row r="271" spans="1:7" ht="14.1" customHeight="1">
      <c r="A271" s="480">
        <v>7</v>
      </c>
      <c r="B271" s="331" t="s">
        <v>1003</v>
      </c>
      <c r="C271" s="332" t="s">
        <v>362</v>
      </c>
      <c r="D271" s="332">
        <v>6</v>
      </c>
      <c r="E271" s="18">
        <f>'MAT 31-10-2013'!R$32</f>
        <v>11.376875</v>
      </c>
      <c r="F271" s="375">
        <f t="shared" si="12"/>
        <v>68.260000000000005</v>
      </c>
      <c r="G271" s="1"/>
    </row>
    <row r="272" spans="1:7" ht="14.1" customHeight="1">
      <c r="A272" s="480">
        <v>8</v>
      </c>
      <c r="B272" s="331" t="s">
        <v>1017</v>
      </c>
      <c r="C272" s="332" t="s">
        <v>3</v>
      </c>
      <c r="D272" s="332">
        <v>1</v>
      </c>
      <c r="E272" s="18">
        <v>300</v>
      </c>
      <c r="F272" s="375">
        <f t="shared" si="12"/>
        <v>300</v>
      </c>
      <c r="G272" s="1"/>
    </row>
    <row r="273" spans="1:7" ht="14.1" customHeight="1">
      <c r="A273" s="480">
        <v>9</v>
      </c>
      <c r="B273" s="220"/>
      <c r="C273" s="324"/>
      <c r="D273" s="224"/>
      <c r="E273" s="18"/>
      <c r="F273" s="375">
        <f t="shared" si="12"/>
        <v>0</v>
      </c>
      <c r="G273" s="1"/>
    </row>
    <row r="274" spans="1:7" ht="14.1" customHeight="1">
      <c r="A274" s="480">
        <v>10</v>
      </c>
      <c r="B274" s="13"/>
      <c r="C274" s="11"/>
      <c r="D274" s="14"/>
      <c r="E274" s="18"/>
      <c r="F274" s="375">
        <f t="shared" si="12"/>
        <v>0</v>
      </c>
      <c r="G274" s="1"/>
    </row>
    <row r="275" spans="1:7" ht="14.1" customHeight="1">
      <c r="A275" s="480">
        <v>11</v>
      </c>
      <c r="B275" s="13"/>
      <c r="C275" s="11"/>
      <c r="D275" s="11"/>
      <c r="E275" s="18"/>
      <c r="F275" s="375">
        <f t="shared" si="12"/>
        <v>0</v>
      </c>
      <c r="G275" s="1"/>
    </row>
    <row r="276" spans="1:7" ht="14.1" customHeight="1" thickBot="1">
      <c r="A276" s="480">
        <v>12</v>
      </c>
      <c r="B276" s="13"/>
      <c r="C276" s="11"/>
      <c r="D276" s="11"/>
      <c r="E276" s="18"/>
      <c r="F276" s="375">
        <f t="shared" si="12"/>
        <v>0</v>
      </c>
      <c r="G276" s="1"/>
    </row>
    <row r="277" spans="1:7" ht="14.1" customHeight="1" thickBot="1">
      <c r="A277" s="481"/>
      <c r="B277" s="5"/>
      <c r="C277" s="367"/>
      <c r="D277" s="367"/>
      <c r="E277" s="367" t="s">
        <v>151</v>
      </c>
      <c r="F277" s="376">
        <f>SUM(F265:F276)</f>
        <v>1792.93</v>
      </c>
      <c r="G277" s="1"/>
    </row>
    <row r="278" spans="1:7" ht="14.1" customHeight="1">
      <c r="A278" s="482"/>
      <c r="B278" s="325"/>
      <c r="C278" s="328"/>
      <c r="D278" s="328"/>
      <c r="E278" s="328"/>
      <c r="F278" s="328"/>
      <c r="G278" s="1"/>
    </row>
    <row r="279" spans="1:7" ht="14.1" customHeight="1">
      <c r="A279" s="625" t="s">
        <v>152</v>
      </c>
      <c r="B279" s="625"/>
      <c r="C279" s="625"/>
      <c r="D279" s="625"/>
      <c r="E279" s="625"/>
      <c r="F279" s="625"/>
      <c r="G279" s="1"/>
    </row>
    <row r="280" spans="1:7" ht="14.1" customHeight="1">
      <c r="A280" s="482"/>
      <c r="B280" s="325"/>
      <c r="C280" s="328"/>
      <c r="D280" s="328"/>
      <c r="E280" s="328"/>
      <c r="F280" s="367"/>
      <c r="G280" s="1"/>
    </row>
    <row r="281" spans="1:7" ht="14.1" customHeight="1">
      <c r="A281" s="480">
        <v>13</v>
      </c>
      <c r="B281" s="17" t="s">
        <v>153</v>
      </c>
      <c r="C281" s="11" t="s">
        <v>154</v>
      </c>
      <c r="D281" s="330">
        <v>0</v>
      </c>
      <c r="E281" s="18">
        <f>'Mano de obra'!$J$20</f>
        <v>82.610000000000014</v>
      </c>
      <c r="F281" s="375">
        <f>ROUND(D281*E281, 2)</f>
        <v>0</v>
      </c>
      <c r="G281" s="1"/>
    </row>
    <row r="282" spans="1:7" ht="14.1" customHeight="1">
      <c r="A282" s="480">
        <v>14</v>
      </c>
      <c r="B282" s="17" t="s">
        <v>155</v>
      </c>
      <c r="C282" s="11" t="s">
        <v>154</v>
      </c>
      <c r="D282" s="330">
        <v>8</v>
      </c>
      <c r="E282" s="18">
        <f>'Mano de obra'!$J$21</f>
        <v>70.38</v>
      </c>
      <c r="F282" s="375">
        <f t="shared" ref="F282:F285" si="13">ROUND(D282*E282, 2)</f>
        <v>563.04</v>
      </c>
      <c r="G282" s="1"/>
    </row>
    <row r="283" spans="1:7" ht="14.1" customHeight="1">
      <c r="A283" s="480">
        <v>15</v>
      </c>
      <c r="B283" s="17" t="s">
        <v>156</v>
      </c>
      <c r="C283" s="11" t="s">
        <v>154</v>
      </c>
      <c r="D283" s="330">
        <v>0</v>
      </c>
      <c r="E283" s="18">
        <f>'Mano de obra'!$J$22</f>
        <v>64.78</v>
      </c>
      <c r="F283" s="375">
        <f t="shared" si="13"/>
        <v>0</v>
      </c>
      <c r="G283" s="1"/>
    </row>
    <row r="284" spans="1:7" ht="14.1" customHeight="1">
      <c r="A284" s="480">
        <v>16</v>
      </c>
      <c r="B284" s="17" t="s">
        <v>157</v>
      </c>
      <c r="C284" s="11" t="s">
        <v>154</v>
      </c>
      <c r="D284" s="330">
        <v>16</v>
      </c>
      <c r="E284" s="18">
        <f>'Mano de obra'!$J$23</f>
        <v>59.800000000000004</v>
      </c>
      <c r="F284" s="375">
        <f t="shared" si="13"/>
        <v>956.8</v>
      </c>
      <c r="G284" s="1"/>
    </row>
    <row r="285" spans="1:7" ht="14.1" customHeight="1" thickBot="1">
      <c r="A285" s="480">
        <v>17</v>
      </c>
      <c r="B285" s="13"/>
      <c r="C285" s="11"/>
      <c r="D285" s="11"/>
      <c r="E285" s="18"/>
      <c r="F285" s="375">
        <f t="shared" si="13"/>
        <v>0</v>
      </c>
      <c r="G285" s="1"/>
    </row>
    <row r="286" spans="1:7" ht="14.1" customHeight="1" thickBot="1">
      <c r="A286" s="483"/>
      <c r="B286" s="325"/>
      <c r="C286" s="328"/>
      <c r="D286" s="328"/>
      <c r="E286" s="367" t="s">
        <v>158</v>
      </c>
      <c r="F286" s="376">
        <f>SUM(F281:F285)</f>
        <v>1519.84</v>
      </c>
      <c r="G286" s="1"/>
    </row>
    <row r="287" spans="1:7" ht="14.1" customHeight="1" thickBot="1">
      <c r="A287" s="484"/>
      <c r="B287" s="325"/>
      <c r="C287" s="328"/>
      <c r="D287" s="328"/>
      <c r="E287" s="328"/>
      <c r="F287" s="367"/>
      <c r="G287" s="1"/>
    </row>
    <row r="288" spans="1:7" ht="14.1" customHeight="1" thickBot="1">
      <c r="A288" s="480"/>
      <c r="B288" s="142" t="s">
        <v>273</v>
      </c>
      <c r="C288" s="369"/>
      <c r="D288" s="369"/>
      <c r="E288" s="377" t="s">
        <v>159</v>
      </c>
      <c r="F288" s="376">
        <f>SUM(F277+F286)</f>
        <v>3312.77</v>
      </c>
      <c r="G288" s="1"/>
    </row>
    <row r="289" spans="1:7" ht="15" customHeight="1">
      <c r="A289" s="626"/>
      <c r="B289" s="627" t="s">
        <v>274</v>
      </c>
      <c r="C289" s="628"/>
      <c r="D289" s="628"/>
      <c r="E289" s="629" t="s">
        <v>275</v>
      </c>
      <c r="F289" s="631">
        <f>ROUND(F288*'Coef. resumen'!$F$23, 2)</f>
        <v>4909.53</v>
      </c>
    </row>
    <row r="290" spans="1:7" ht="15" customHeight="1" thickBot="1">
      <c r="A290" s="626"/>
      <c r="B290" s="627"/>
      <c r="C290" s="628"/>
      <c r="D290" s="628"/>
      <c r="E290" s="630"/>
      <c r="F290" s="632"/>
    </row>
    <row r="291" spans="1:7" ht="15">
      <c r="A291" s="471"/>
      <c r="B291" s="2"/>
      <c r="C291" s="329"/>
      <c r="D291" s="329"/>
      <c r="E291" s="329"/>
      <c r="F291" s="329"/>
    </row>
    <row r="292" spans="1:7" ht="15">
      <c r="A292" s="471"/>
      <c r="B292" s="2"/>
      <c r="C292" s="329"/>
      <c r="D292" s="329"/>
      <c r="E292" s="329"/>
      <c r="F292" s="329"/>
    </row>
    <row r="293" spans="1:7" ht="15">
      <c r="A293" s="471"/>
      <c r="B293" s="194" t="str">
        <f>'Coef. resumen'!$B$30</f>
        <v>Julián Antonelli</v>
      </c>
      <c r="C293" s="524"/>
      <c r="D293" s="524"/>
      <c r="E293" s="194" t="str">
        <f>'Coef. resumen'!$E$30</f>
        <v>Marcelo A. Pasquini</v>
      </c>
      <c r="F293" s="524"/>
    </row>
    <row r="294" spans="1:7" ht="15">
      <c r="A294" s="471"/>
      <c r="B294" s="194" t="str">
        <f>'Coef. resumen'!$B$31</f>
        <v>Ing. Civil M.P. 2161</v>
      </c>
      <c r="C294" s="524"/>
      <c r="D294" s="524"/>
      <c r="E294" s="194" t="str">
        <f>'Coef. resumen'!$E$31</f>
        <v>Socio Gerente</v>
      </c>
      <c r="F294" s="524"/>
    </row>
    <row r="295" spans="1:7" ht="15">
      <c r="A295" s="471"/>
      <c r="B295" s="194" t="str">
        <f>'Coef. resumen'!$B$32</f>
        <v>Representante Técnico</v>
      </c>
      <c r="C295" s="524"/>
      <c r="D295" s="19"/>
      <c r="E295" s="194" t="str">
        <f>'Coef. resumen'!$E$32</f>
        <v>Pasquini Construcciones SRL</v>
      </c>
      <c r="F295" s="524"/>
    </row>
    <row r="296" spans="1:7" ht="15">
      <c r="A296" s="471"/>
      <c r="B296" s="194"/>
      <c r="C296" s="329"/>
      <c r="D296" s="19"/>
      <c r="E296" s="194"/>
      <c r="F296" s="329"/>
    </row>
    <row r="297" spans="1:7" ht="14.1" customHeight="1">
      <c r="A297" s="477" t="s">
        <v>142</v>
      </c>
      <c r="B297" s="613" t="str">
        <f>Presupuesto!B28</f>
        <v>Provisión y colocación de Válvula de aire con cámara de material</v>
      </c>
      <c r="C297" s="614"/>
      <c r="D297" s="615"/>
      <c r="E297" s="367" t="s">
        <v>143</v>
      </c>
      <c r="F297" s="30" t="str">
        <f>Presupuesto!C28</f>
        <v>Un</v>
      </c>
      <c r="G297" s="1"/>
    </row>
    <row r="298" spans="1:7" ht="14.1" customHeight="1">
      <c r="A298" s="622" t="str">
        <f>Presupuesto!A28</f>
        <v>1.2.4</v>
      </c>
      <c r="B298" s="616"/>
      <c r="C298" s="617"/>
      <c r="D298" s="618"/>
      <c r="E298" s="367"/>
      <c r="F298" s="367"/>
      <c r="G298" s="1"/>
    </row>
    <row r="299" spans="1:7" ht="14.1" customHeight="1">
      <c r="A299" s="622"/>
      <c r="B299" s="616"/>
      <c r="C299" s="617"/>
      <c r="D299" s="618"/>
      <c r="E299" s="367"/>
      <c r="F299" s="367"/>
      <c r="G299" s="1"/>
    </row>
    <row r="300" spans="1:7" ht="14.1" customHeight="1">
      <c r="A300" s="623"/>
      <c r="B300" s="619"/>
      <c r="C300" s="620"/>
      <c r="D300" s="621"/>
      <c r="E300" s="367"/>
      <c r="F300" s="367"/>
      <c r="G300" s="1"/>
    </row>
    <row r="301" spans="1:7" ht="14.1" customHeight="1">
      <c r="A301" s="478"/>
      <c r="B301" s="29"/>
      <c r="C301" s="368"/>
      <c r="D301" s="368"/>
      <c r="E301" s="365"/>
      <c r="F301" s="365"/>
      <c r="G301" s="1"/>
    </row>
    <row r="302" spans="1:7" ht="14.1" customHeight="1">
      <c r="A302" s="624" t="s">
        <v>144</v>
      </c>
      <c r="B302" s="624"/>
      <c r="C302" s="624"/>
      <c r="D302" s="624"/>
      <c r="E302" s="624"/>
      <c r="F302" s="624"/>
      <c r="G302" s="1"/>
    </row>
    <row r="303" spans="1:7" ht="14.1" customHeight="1">
      <c r="A303" s="479"/>
      <c r="B303" s="10"/>
      <c r="C303" s="327"/>
      <c r="D303" s="327"/>
      <c r="E303" s="327"/>
      <c r="F303" s="327"/>
      <c r="G303" s="1"/>
    </row>
    <row r="304" spans="1:7" ht="15.95" customHeight="1">
      <c r="A304" s="480" t="s">
        <v>145</v>
      </c>
      <c r="B304" s="11" t="s">
        <v>146</v>
      </c>
      <c r="C304" s="11" t="s">
        <v>147</v>
      </c>
      <c r="D304" s="11" t="s">
        <v>148</v>
      </c>
      <c r="E304" s="12" t="s">
        <v>149</v>
      </c>
      <c r="F304" s="11" t="s">
        <v>150</v>
      </c>
      <c r="G304" s="1"/>
    </row>
    <row r="305" spans="1:7" ht="14.1" customHeight="1">
      <c r="A305" s="480">
        <v>1</v>
      </c>
      <c r="B305" s="331" t="s">
        <v>1213</v>
      </c>
      <c r="C305" s="332" t="s">
        <v>3</v>
      </c>
      <c r="D305" s="332">
        <v>1</v>
      </c>
      <c r="E305" s="18">
        <f>'MAT 31-10-2013'!R225*1.1</f>
        <v>1094.69696969697</v>
      </c>
      <c r="F305" s="375">
        <f>ROUND(D305*E305, 2)</f>
        <v>1094.7</v>
      </c>
      <c r="G305" s="1"/>
    </row>
    <row r="306" spans="1:7" ht="14.1" customHeight="1">
      <c r="A306" s="480">
        <v>2</v>
      </c>
      <c r="B306" s="331" t="s">
        <v>999</v>
      </c>
      <c r="C306" s="332" t="s">
        <v>3</v>
      </c>
      <c r="D306" s="332">
        <v>120</v>
      </c>
      <c r="E306" s="18">
        <f>'MAT 31-10-2013'!R$59</f>
        <v>2.3197887970615243</v>
      </c>
      <c r="F306" s="375">
        <f t="shared" ref="F306:F316" si="14">ROUND(D306*E306, 2)</f>
        <v>278.37</v>
      </c>
      <c r="G306" s="1"/>
    </row>
    <row r="307" spans="1:7" ht="14.1" customHeight="1">
      <c r="A307" s="480">
        <v>3</v>
      </c>
      <c r="B307" s="331" t="s">
        <v>1000</v>
      </c>
      <c r="C307" s="332" t="s">
        <v>53</v>
      </c>
      <c r="D307" s="332">
        <v>0.05</v>
      </c>
      <c r="E307" s="18">
        <f>'MAT 31-10-2013'!R$7</f>
        <v>39.059027777777771</v>
      </c>
      <c r="F307" s="375">
        <f t="shared" si="14"/>
        <v>1.95</v>
      </c>
      <c r="G307" s="1"/>
    </row>
    <row r="308" spans="1:7" ht="14.1" customHeight="1">
      <c r="A308" s="480">
        <v>4</v>
      </c>
      <c r="B308" s="331" t="s">
        <v>1001</v>
      </c>
      <c r="C308" s="332" t="s">
        <v>53</v>
      </c>
      <c r="D308" s="332">
        <v>0.33</v>
      </c>
      <c r="E308" s="18">
        <f>'MAT 31-10-2013'!R$5</f>
        <v>39.059027777777771</v>
      </c>
      <c r="F308" s="375">
        <f t="shared" si="14"/>
        <v>12.89</v>
      </c>
      <c r="G308" s="1"/>
    </row>
    <row r="309" spans="1:7" ht="14.1" customHeight="1">
      <c r="A309" s="480">
        <v>5</v>
      </c>
      <c r="B309" s="331" t="s">
        <v>1002</v>
      </c>
      <c r="C309" s="332" t="s">
        <v>362</v>
      </c>
      <c r="D309" s="332">
        <v>120</v>
      </c>
      <c r="E309" s="18">
        <f>'MAT 31-10-2013'!R$14</f>
        <v>1.013611111111111</v>
      </c>
      <c r="F309" s="375">
        <f t="shared" si="14"/>
        <v>121.63</v>
      </c>
      <c r="G309" s="1"/>
    </row>
    <row r="310" spans="1:7" ht="14.1" customHeight="1">
      <c r="A310" s="480">
        <v>6</v>
      </c>
      <c r="B310" s="331" t="s">
        <v>368</v>
      </c>
      <c r="C310" s="332" t="s">
        <v>362</v>
      </c>
      <c r="D310" s="332">
        <v>2.8</v>
      </c>
      <c r="E310" s="18">
        <f>'MAT 31-10-2013'!R$17</f>
        <v>5.232499999999999</v>
      </c>
      <c r="F310" s="375">
        <f t="shared" si="14"/>
        <v>14.65</v>
      </c>
      <c r="G310" s="1"/>
    </row>
    <row r="311" spans="1:7" ht="14.1" customHeight="1">
      <c r="A311" s="480">
        <v>7</v>
      </c>
      <c r="B311" s="331" t="s">
        <v>1003</v>
      </c>
      <c r="C311" s="332" t="s">
        <v>362</v>
      </c>
      <c r="D311" s="332">
        <v>6</v>
      </c>
      <c r="E311" s="18">
        <f>'MAT 31-10-2013'!R$32</f>
        <v>11.376875</v>
      </c>
      <c r="F311" s="375">
        <f t="shared" si="14"/>
        <v>68.260000000000005</v>
      </c>
      <c r="G311" s="1"/>
    </row>
    <row r="312" spans="1:7" ht="14.1" customHeight="1">
      <c r="A312" s="480">
        <v>8</v>
      </c>
      <c r="B312" s="331" t="s">
        <v>1017</v>
      </c>
      <c r="C312" s="332" t="s">
        <v>3</v>
      </c>
      <c r="D312" s="332">
        <v>1</v>
      </c>
      <c r="E312" s="18">
        <v>300</v>
      </c>
      <c r="F312" s="375">
        <f t="shared" si="14"/>
        <v>300</v>
      </c>
      <c r="G312" s="1"/>
    </row>
    <row r="313" spans="1:7" ht="14.1" customHeight="1">
      <c r="A313" s="480">
        <v>9</v>
      </c>
      <c r="B313" s="220"/>
      <c r="C313" s="324"/>
      <c r="D313" s="224"/>
      <c r="E313" s="18"/>
      <c r="F313" s="375">
        <f t="shared" si="14"/>
        <v>0</v>
      </c>
      <c r="G313" s="1"/>
    </row>
    <row r="314" spans="1:7" ht="14.1" customHeight="1">
      <c r="A314" s="480">
        <v>10</v>
      </c>
      <c r="B314" s="13"/>
      <c r="C314" s="11"/>
      <c r="D314" s="14"/>
      <c r="E314" s="18"/>
      <c r="F314" s="375">
        <f t="shared" si="14"/>
        <v>0</v>
      </c>
      <c r="G314" s="1"/>
    </row>
    <row r="315" spans="1:7" ht="14.1" customHeight="1">
      <c r="A315" s="480">
        <v>11</v>
      </c>
      <c r="B315" s="13"/>
      <c r="C315" s="11"/>
      <c r="D315" s="11"/>
      <c r="E315" s="18"/>
      <c r="F315" s="375">
        <f t="shared" si="14"/>
        <v>0</v>
      </c>
      <c r="G315" s="1"/>
    </row>
    <row r="316" spans="1:7" ht="14.1" customHeight="1" thickBot="1">
      <c r="A316" s="480">
        <v>12</v>
      </c>
      <c r="B316" s="13"/>
      <c r="C316" s="11"/>
      <c r="D316" s="11"/>
      <c r="E316" s="18"/>
      <c r="F316" s="375">
        <f t="shared" si="14"/>
        <v>0</v>
      </c>
      <c r="G316" s="1"/>
    </row>
    <row r="317" spans="1:7" ht="14.1" customHeight="1" thickBot="1">
      <c r="A317" s="481"/>
      <c r="B317" s="5"/>
      <c r="C317" s="367"/>
      <c r="D317" s="367"/>
      <c r="E317" s="367" t="s">
        <v>151</v>
      </c>
      <c r="F317" s="376">
        <f>SUM(F305:F316)</f>
        <v>1892.4500000000005</v>
      </c>
      <c r="G317" s="1"/>
    </row>
    <row r="318" spans="1:7" ht="14.1" customHeight="1">
      <c r="A318" s="482"/>
      <c r="B318" s="325"/>
      <c r="C318" s="328"/>
      <c r="D318" s="328"/>
      <c r="E318" s="328"/>
      <c r="F318" s="328"/>
      <c r="G318" s="1"/>
    </row>
    <row r="319" spans="1:7" ht="14.1" customHeight="1">
      <c r="A319" s="625" t="s">
        <v>152</v>
      </c>
      <c r="B319" s="625"/>
      <c r="C319" s="625"/>
      <c r="D319" s="625"/>
      <c r="E319" s="625"/>
      <c r="F319" s="625"/>
      <c r="G319" s="1"/>
    </row>
    <row r="320" spans="1:7" ht="14.1" customHeight="1">
      <c r="A320" s="482"/>
      <c r="B320" s="325"/>
      <c r="C320" s="328"/>
      <c r="D320" s="328"/>
      <c r="E320" s="328"/>
      <c r="F320" s="367"/>
      <c r="G320" s="1"/>
    </row>
    <row r="321" spans="1:7" ht="14.1" customHeight="1">
      <c r="A321" s="480">
        <v>13</v>
      </c>
      <c r="B321" s="17" t="s">
        <v>153</v>
      </c>
      <c r="C321" s="11" t="s">
        <v>154</v>
      </c>
      <c r="D321" s="330">
        <v>0</v>
      </c>
      <c r="E321" s="18">
        <f>'Mano de obra'!$J$20</f>
        <v>82.610000000000014</v>
      </c>
      <c r="F321" s="375">
        <f>ROUND(D321*E321, 2)</f>
        <v>0</v>
      </c>
      <c r="G321" s="1"/>
    </row>
    <row r="322" spans="1:7" ht="14.1" customHeight="1">
      <c r="A322" s="480">
        <v>14</v>
      </c>
      <c r="B322" s="17" t="s">
        <v>155</v>
      </c>
      <c r="C322" s="11" t="s">
        <v>154</v>
      </c>
      <c r="D322" s="330">
        <v>8</v>
      </c>
      <c r="E322" s="18">
        <f>'Mano de obra'!$J$21</f>
        <v>70.38</v>
      </c>
      <c r="F322" s="375">
        <f t="shared" ref="F322:F325" si="15">ROUND(D322*E322, 2)</f>
        <v>563.04</v>
      </c>
      <c r="G322" s="1"/>
    </row>
    <row r="323" spans="1:7" ht="14.1" customHeight="1">
      <c r="A323" s="480">
        <v>15</v>
      </c>
      <c r="B323" s="17" t="s">
        <v>156</v>
      </c>
      <c r="C323" s="11" t="s">
        <v>154</v>
      </c>
      <c r="D323" s="330">
        <v>0</v>
      </c>
      <c r="E323" s="18">
        <f>'Mano de obra'!$J$22</f>
        <v>64.78</v>
      </c>
      <c r="F323" s="375">
        <f t="shared" si="15"/>
        <v>0</v>
      </c>
      <c r="G323" s="1"/>
    </row>
    <row r="324" spans="1:7" ht="14.1" customHeight="1">
      <c r="A324" s="480">
        <v>16</v>
      </c>
      <c r="B324" s="17" t="s">
        <v>157</v>
      </c>
      <c r="C324" s="11" t="s">
        <v>154</v>
      </c>
      <c r="D324" s="330">
        <v>16</v>
      </c>
      <c r="E324" s="18">
        <f>'Mano de obra'!$J$23</f>
        <v>59.800000000000004</v>
      </c>
      <c r="F324" s="375">
        <f t="shared" si="15"/>
        <v>956.8</v>
      </c>
      <c r="G324" s="1"/>
    </row>
    <row r="325" spans="1:7" ht="14.1" customHeight="1" thickBot="1">
      <c r="A325" s="480">
        <v>17</v>
      </c>
      <c r="B325" s="13"/>
      <c r="C325" s="11"/>
      <c r="D325" s="11"/>
      <c r="E325" s="18"/>
      <c r="F325" s="375">
        <f t="shared" si="15"/>
        <v>0</v>
      </c>
      <c r="G325" s="1"/>
    </row>
    <row r="326" spans="1:7" ht="14.1" customHeight="1" thickBot="1">
      <c r="A326" s="483"/>
      <c r="B326" s="325"/>
      <c r="C326" s="328"/>
      <c r="D326" s="328"/>
      <c r="E326" s="367" t="s">
        <v>158</v>
      </c>
      <c r="F326" s="376">
        <f>SUM(F321:F325)</f>
        <v>1519.84</v>
      </c>
      <c r="G326" s="1"/>
    </row>
    <row r="327" spans="1:7" ht="14.1" customHeight="1" thickBot="1">
      <c r="A327" s="484"/>
      <c r="B327" s="325"/>
      <c r="C327" s="328"/>
      <c r="D327" s="328"/>
      <c r="E327" s="328"/>
      <c r="F327" s="367"/>
      <c r="G327" s="1"/>
    </row>
    <row r="328" spans="1:7" ht="14.1" customHeight="1" thickBot="1">
      <c r="A328" s="480"/>
      <c r="B328" s="142" t="s">
        <v>273</v>
      </c>
      <c r="C328" s="369"/>
      <c r="D328" s="369"/>
      <c r="E328" s="377" t="s">
        <v>159</v>
      </c>
      <c r="F328" s="376">
        <f>SUM(F317+F326)</f>
        <v>3412.2900000000004</v>
      </c>
      <c r="G328" s="1"/>
    </row>
    <row r="329" spans="1:7" ht="15" customHeight="1">
      <c r="A329" s="626"/>
      <c r="B329" s="627" t="s">
        <v>274</v>
      </c>
      <c r="C329" s="628"/>
      <c r="D329" s="628"/>
      <c r="E329" s="629" t="s">
        <v>275</v>
      </c>
      <c r="F329" s="631">
        <f>ROUND(F328*'Coef. resumen'!$F$23, 2)</f>
        <v>5057.01</v>
      </c>
    </row>
    <row r="330" spans="1:7" ht="15" customHeight="1" thickBot="1">
      <c r="A330" s="626"/>
      <c r="B330" s="627"/>
      <c r="C330" s="628"/>
      <c r="D330" s="628"/>
      <c r="E330" s="630"/>
      <c r="F330" s="632"/>
    </row>
    <row r="331" spans="1:7" ht="15">
      <c r="A331" s="471"/>
      <c r="B331" s="2"/>
      <c r="C331" s="329"/>
      <c r="D331" s="329"/>
      <c r="E331" s="329"/>
      <c r="F331" s="329"/>
    </row>
    <row r="332" spans="1:7" ht="15">
      <c r="A332" s="471"/>
      <c r="B332" s="2"/>
      <c r="C332" s="329"/>
      <c r="D332" s="329"/>
      <c r="E332" s="329"/>
      <c r="F332" s="329"/>
    </row>
    <row r="333" spans="1:7" ht="15">
      <c r="A333" s="471"/>
      <c r="B333" s="194" t="str">
        <f>'Coef. resumen'!$B$30</f>
        <v>Julián Antonelli</v>
      </c>
      <c r="C333" s="524"/>
      <c r="D333" s="524"/>
      <c r="E333" s="194" t="str">
        <f>'Coef. resumen'!$E$30</f>
        <v>Marcelo A. Pasquini</v>
      </c>
      <c r="F333" s="524"/>
    </row>
    <row r="334" spans="1:7" ht="15">
      <c r="A334" s="471"/>
      <c r="B334" s="194" t="str">
        <f>'Coef. resumen'!$B$31</f>
        <v>Ing. Civil M.P. 2161</v>
      </c>
      <c r="C334" s="524"/>
      <c r="D334" s="524"/>
      <c r="E334" s="194" t="str">
        <f>'Coef. resumen'!$E$31</f>
        <v>Socio Gerente</v>
      </c>
      <c r="F334" s="524"/>
    </row>
    <row r="335" spans="1:7" ht="15">
      <c r="A335" s="471"/>
      <c r="B335" s="194" t="str">
        <f>'Coef. resumen'!$B$32</f>
        <v>Representante Técnico</v>
      </c>
      <c r="C335" s="524"/>
      <c r="D335" s="19"/>
      <c r="E335" s="194" t="str">
        <f>'Coef. resumen'!$E$32</f>
        <v>Pasquini Construcciones SRL</v>
      </c>
      <c r="F335" s="524"/>
    </row>
    <row r="336" spans="1:7" ht="15">
      <c r="A336" s="471"/>
      <c r="B336" s="194"/>
      <c r="C336" s="329"/>
      <c r="D336" s="19"/>
      <c r="E336" s="194"/>
      <c r="F336" s="329"/>
    </row>
    <row r="337" spans="1:7" ht="14.1" customHeight="1">
      <c r="A337" s="477" t="s">
        <v>142</v>
      </c>
      <c r="B337" s="613" t="str">
        <f>Presupuesto!B29</f>
        <v>Provisión y colocación de Válvula de reguladora de presión con cámara de material y bay-pas</v>
      </c>
      <c r="C337" s="614"/>
      <c r="D337" s="615"/>
      <c r="E337" s="367" t="s">
        <v>143</v>
      </c>
      <c r="F337" s="30" t="str">
        <f>Presupuesto!C29</f>
        <v>Un</v>
      </c>
      <c r="G337" s="1"/>
    </row>
    <row r="338" spans="1:7" ht="14.1" customHeight="1">
      <c r="A338" s="622" t="str">
        <f>Presupuesto!A29:A29</f>
        <v>1.2.5</v>
      </c>
      <c r="B338" s="616"/>
      <c r="C338" s="617"/>
      <c r="D338" s="618"/>
      <c r="E338" s="367"/>
      <c r="F338" s="367"/>
      <c r="G338" s="1"/>
    </row>
    <row r="339" spans="1:7" ht="14.1" customHeight="1">
      <c r="A339" s="622"/>
      <c r="B339" s="616"/>
      <c r="C339" s="617"/>
      <c r="D339" s="618"/>
      <c r="E339" s="367"/>
      <c r="F339" s="367"/>
      <c r="G339" s="1"/>
    </row>
    <row r="340" spans="1:7" ht="14.1" customHeight="1">
      <c r="A340" s="623"/>
      <c r="B340" s="619"/>
      <c r="C340" s="620"/>
      <c r="D340" s="621"/>
      <c r="E340" s="367"/>
      <c r="F340" s="367"/>
      <c r="G340" s="1"/>
    </row>
    <row r="341" spans="1:7" ht="14.1" customHeight="1">
      <c r="A341" s="478"/>
      <c r="B341" s="29"/>
      <c r="C341" s="368"/>
      <c r="D341" s="368"/>
      <c r="E341" s="365"/>
      <c r="F341" s="365"/>
      <c r="G341" s="1"/>
    </row>
    <row r="342" spans="1:7" ht="14.1" customHeight="1">
      <c r="A342" s="624" t="s">
        <v>144</v>
      </c>
      <c r="B342" s="624"/>
      <c r="C342" s="624"/>
      <c r="D342" s="624"/>
      <c r="E342" s="624"/>
      <c r="F342" s="624"/>
      <c r="G342" s="1"/>
    </row>
    <row r="343" spans="1:7" ht="14.1" customHeight="1">
      <c r="A343" s="479"/>
      <c r="B343" s="10"/>
      <c r="C343" s="327"/>
      <c r="D343" s="327"/>
      <c r="E343" s="327"/>
      <c r="F343" s="327"/>
      <c r="G343" s="1"/>
    </row>
    <row r="344" spans="1:7" ht="15.95" customHeight="1">
      <c r="A344" s="480" t="s">
        <v>145</v>
      </c>
      <c r="B344" s="11" t="s">
        <v>146</v>
      </c>
      <c r="C344" s="11" t="s">
        <v>147</v>
      </c>
      <c r="D344" s="11" t="s">
        <v>148</v>
      </c>
      <c r="E344" s="12" t="s">
        <v>149</v>
      </c>
      <c r="F344" s="11" t="s">
        <v>150</v>
      </c>
      <c r="G344" s="1"/>
    </row>
    <row r="345" spans="1:7" ht="14.1" customHeight="1">
      <c r="A345" s="480">
        <v>1</v>
      </c>
      <c r="B345" s="331" t="s">
        <v>1214</v>
      </c>
      <c r="C345" s="332" t="s">
        <v>3</v>
      </c>
      <c r="D345" s="332">
        <v>1</v>
      </c>
      <c r="E345" s="18">
        <f>'MAT 31-10-2013'!R226*1.2</f>
        <v>1890.8402203856749</v>
      </c>
      <c r="F345" s="375">
        <f>ROUND(D345*E345, 2)</f>
        <v>1890.84</v>
      </c>
      <c r="G345" s="1"/>
    </row>
    <row r="346" spans="1:7" ht="14.1" customHeight="1">
      <c r="A346" s="480">
        <v>2</v>
      </c>
      <c r="B346" s="331" t="s">
        <v>999</v>
      </c>
      <c r="C346" s="332" t="s">
        <v>3</v>
      </c>
      <c r="D346" s="332">
        <v>120</v>
      </c>
      <c r="E346" s="18">
        <f>'MAT 31-10-2013'!R$59</f>
        <v>2.3197887970615243</v>
      </c>
      <c r="F346" s="375">
        <f t="shared" ref="F346:F356" si="16">ROUND(D346*E346, 2)</f>
        <v>278.37</v>
      </c>
      <c r="G346" s="1"/>
    </row>
    <row r="347" spans="1:7" ht="14.1" customHeight="1">
      <c r="A347" s="480">
        <v>3</v>
      </c>
      <c r="B347" s="331" t="s">
        <v>1000</v>
      </c>
      <c r="C347" s="332" t="s">
        <v>53</v>
      </c>
      <c r="D347" s="332">
        <v>0.05</v>
      </c>
      <c r="E347" s="18">
        <f>'MAT 31-10-2013'!R$7</f>
        <v>39.059027777777771</v>
      </c>
      <c r="F347" s="375">
        <f t="shared" si="16"/>
        <v>1.95</v>
      </c>
      <c r="G347" s="1"/>
    </row>
    <row r="348" spans="1:7" ht="14.1" customHeight="1">
      <c r="A348" s="480">
        <v>4</v>
      </c>
      <c r="B348" s="331" t="s">
        <v>1001</v>
      </c>
      <c r="C348" s="332" t="s">
        <v>53</v>
      </c>
      <c r="D348" s="332">
        <v>0.33</v>
      </c>
      <c r="E348" s="18">
        <f>'MAT 31-10-2013'!R$5</f>
        <v>39.059027777777771</v>
      </c>
      <c r="F348" s="375">
        <f t="shared" si="16"/>
        <v>12.89</v>
      </c>
      <c r="G348" s="1"/>
    </row>
    <row r="349" spans="1:7" ht="14.1" customHeight="1">
      <c r="A349" s="480">
        <v>5</v>
      </c>
      <c r="B349" s="331" t="s">
        <v>1002</v>
      </c>
      <c r="C349" s="332" t="s">
        <v>362</v>
      </c>
      <c r="D349" s="332">
        <v>120</v>
      </c>
      <c r="E349" s="18">
        <f>'MAT 31-10-2013'!R$14</f>
        <v>1.013611111111111</v>
      </c>
      <c r="F349" s="375">
        <f t="shared" si="16"/>
        <v>121.63</v>
      </c>
      <c r="G349" s="1"/>
    </row>
    <row r="350" spans="1:7" ht="14.1" customHeight="1">
      <c r="A350" s="480">
        <v>6</v>
      </c>
      <c r="B350" s="331" t="s">
        <v>368</v>
      </c>
      <c r="C350" s="332" t="s">
        <v>362</v>
      </c>
      <c r="D350" s="332">
        <v>2.8</v>
      </c>
      <c r="E350" s="18">
        <f>'MAT 31-10-2013'!R$17</f>
        <v>5.232499999999999</v>
      </c>
      <c r="F350" s="375">
        <f t="shared" si="16"/>
        <v>14.65</v>
      </c>
      <c r="G350" s="1"/>
    </row>
    <row r="351" spans="1:7" ht="14.1" customHeight="1">
      <c r="A351" s="480">
        <v>7</v>
      </c>
      <c r="B351" s="331" t="s">
        <v>1003</v>
      </c>
      <c r="C351" s="332" t="s">
        <v>362</v>
      </c>
      <c r="D351" s="332">
        <v>6</v>
      </c>
      <c r="E351" s="18">
        <f>'MAT 31-10-2013'!R$32</f>
        <v>11.376875</v>
      </c>
      <c r="F351" s="375">
        <f t="shared" si="16"/>
        <v>68.260000000000005</v>
      </c>
      <c r="G351" s="1"/>
    </row>
    <row r="352" spans="1:7" ht="14.1" customHeight="1">
      <c r="A352" s="480">
        <v>8</v>
      </c>
      <c r="B352" s="331" t="s">
        <v>1017</v>
      </c>
      <c r="C352" s="332" t="s">
        <v>3</v>
      </c>
      <c r="D352" s="332">
        <v>1</v>
      </c>
      <c r="E352" s="18">
        <v>300</v>
      </c>
      <c r="F352" s="375">
        <f t="shared" si="16"/>
        <v>300</v>
      </c>
      <c r="G352" s="1"/>
    </row>
    <row r="353" spans="1:7" ht="14.1" customHeight="1">
      <c r="A353" s="480">
        <v>9</v>
      </c>
      <c r="B353" s="220"/>
      <c r="C353" s="324"/>
      <c r="D353" s="224"/>
      <c r="E353" s="18"/>
      <c r="F353" s="375">
        <f t="shared" si="16"/>
        <v>0</v>
      </c>
      <c r="G353" s="1"/>
    </row>
    <row r="354" spans="1:7" ht="14.1" customHeight="1">
      <c r="A354" s="480">
        <v>10</v>
      </c>
      <c r="B354" s="13"/>
      <c r="C354" s="11"/>
      <c r="D354" s="14"/>
      <c r="E354" s="18"/>
      <c r="F354" s="375">
        <f t="shared" si="16"/>
        <v>0</v>
      </c>
      <c r="G354" s="1"/>
    </row>
    <row r="355" spans="1:7" ht="14.1" customHeight="1">
      <c r="A355" s="480">
        <v>11</v>
      </c>
      <c r="B355" s="13"/>
      <c r="C355" s="11"/>
      <c r="D355" s="11"/>
      <c r="E355" s="18"/>
      <c r="F355" s="375">
        <f t="shared" si="16"/>
        <v>0</v>
      </c>
      <c r="G355" s="1"/>
    </row>
    <row r="356" spans="1:7" ht="14.1" customHeight="1" thickBot="1">
      <c r="A356" s="480">
        <v>12</v>
      </c>
      <c r="B356" s="13"/>
      <c r="C356" s="11"/>
      <c r="D356" s="11"/>
      <c r="E356" s="18"/>
      <c r="F356" s="375">
        <f t="shared" si="16"/>
        <v>0</v>
      </c>
      <c r="G356" s="1"/>
    </row>
    <row r="357" spans="1:7" ht="14.1" customHeight="1" thickBot="1">
      <c r="A357" s="481"/>
      <c r="B357" s="5"/>
      <c r="C357" s="367"/>
      <c r="D357" s="367"/>
      <c r="E357" s="367" t="s">
        <v>151</v>
      </c>
      <c r="F357" s="376">
        <f>SUM(F345:F356)</f>
        <v>2688.59</v>
      </c>
      <c r="G357" s="1"/>
    </row>
    <row r="358" spans="1:7" ht="14.1" customHeight="1">
      <c r="A358" s="482"/>
      <c r="B358" s="325"/>
      <c r="C358" s="328"/>
      <c r="D358" s="328"/>
      <c r="E358" s="328"/>
      <c r="F358" s="328"/>
      <c r="G358" s="1"/>
    </row>
    <row r="359" spans="1:7" ht="14.1" customHeight="1">
      <c r="A359" s="625" t="s">
        <v>152</v>
      </c>
      <c r="B359" s="625"/>
      <c r="C359" s="625"/>
      <c r="D359" s="625"/>
      <c r="E359" s="625"/>
      <c r="F359" s="625"/>
      <c r="G359" s="1"/>
    </row>
    <row r="360" spans="1:7" ht="14.1" customHeight="1">
      <c r="A360" s="482"/>
      <c r="B360" s="325"/>
      <c r="C360" s="328"/>
      <c r="D360" s="328"/>
      <c r="E360" s="328"/>
      <c r="F360" s="367"/>
      <c r="G360" s="1"/>
    </row>
    <row r="361" spans="1:7" ht="14.1" customHeight="1">
      <c r="A361" s="480">
        <v>13</v>
      </c>
      <c r="B361" s="17" t="s">
        <v>153</v>
      </c>
      <c r="C361" s="11" t="s">
        <v>154</v>
      </c>
      <c r="D361" s="330">
        <v>0</v>
      </c>
      <c r="E361" s="18">
        <f>'Mano de obra'!$J$20</f>
        <v>82.610000000000014</v>
      </c>
      <c r="F361" s="375">
        <f>ROUND(D361*E361, 2)</f>
        <v>0</v>
      </c>
      <c r="G361" s="1"/>
    </row>
    <row r="362" spans="1:7" ht="14.1" customHeight="1">
      <c r="A362" s="480">
        <v>14</v>
      </c>
      <c r="B362" s="17" t="s">
        <v>155</v>
      </c>
      <c r="C362" s="11" t="s">
        <v>154</v>
      </c>
      <c r="D362" s="330">
        <v>8</v>
      </c>
      <c r="E362" s="18">
        <f>'Mano de obra'!$J$21</f>
        <v>70.38</v>
      </c>
      <c r="F362" s="375">
        <f t="shared" ref="F362:F365" si="17">ROUND(D362*E362, 2)</f>
        <v>563.04</v>
      </c>
      <c r="G362" s="1"/>
    </row>
    <row r="363" spans="1:7" ht="14.1" customHeight="1">
      <c r="A363" s="480">
        <v>15</v>
      </c>
      <c r="B363" s="17" t="s">
        <v>156</v>
      </c>
      <c r="C363" s="11" t="s">
        <v>154</v>
      </c>
      <c r="D363" s="330">
        <v>0</v>
      </c>
      <c r="E363" s="18">
        <f>'Mano de obra'!$J$22</f>
        <v>64.78</v>
      </c>
      <c r="F363" s="375">
        <f t="shared" si="17"/>
        <v>0</v>
      </c>
      <c r="G363" s="1"/>
    </row>
    <row r="364" spans="1:7" ht="14.1" customHeight="1">
      <c r="A364" s="480">
        <v>16</v>
      </c>
      <c r="B364" s="17" t="s">
        <v>157</v>
      </c>
      <c r="C364" s="11" t="s">
        <v>154</v>
      </c>
      <c r="D364" s="330">
        <v>16</v>
      </c>
      <c r="E364" s="18">
        <f>'Mano de obra'!$J$23</f>
        <v>59.800000000000004</v>
      </c>
      <c r="F364" s="375">
        <f t="shared" si="17"/>
        <v>956.8</v>
      </c>
      <c r="G364" s="1"/>
    </row>
    <row r="365" spans="1:7" ht="14.1" customHeight="1" thickBot="1">
      <c r="A365" s="480">
        <v>17</v>
      </c>
      <c r="B365" s="13"/>
      <c r="C365" s="11"/>
      <c r="D365" s="11"/>
      <c r="E365" s="18"/>
      <c r="F365" s="375">
        <f t="shared" si="17"/>
        <v>0</v>
      </c>
      <c r="G365" s="1"/>
    </row>
    <row r="366" spans="1:7" ht="14.1" customHeight="1" thickBot="1">
      <c r="A366" s="483"/>
      <c r="B366" s="325"/>
      <c r="C366" s="328"/>
      <c r="D366" s="328"/>
      <c r="E366" s="367" t="s">
        <v>158</v>
      </c>
      <c r="F366" s="376">
        <f>SUM(F361:F365)</f>
        <v>1519.84</v>
      </c>
      <c r="G366" s="1"/>
    </row>
    <row r="367" spans="1:7" ht="14.1" customHeight="1" thickBot="1">
      <c r="A367" s="484"/>
      <c r="B367" s="325"/>
      <c r="C367" s="328"/>
      <c r="D367" s="328"/>
      <c r="E367" s="328"/>
      <c r="F367" s="367"/>
      <c r="G367" s="1"/>
    </row>
    <row r="368" spans="1:7" ht="14.1" customHeight="1" thickBot="1">
      <c r="A368" s="480"/>
      <c r="B368" s="142" t="s">
        <v>273</v>
      </c>
      <c r="C368" s="369"/>
      <c r="D368" s="369"/>
      <c r="E368" s="377" t="s">
        <v>159</v>
      </c>
      <c r="F368" s="376">
        <f>SUM(F357+F366)</f>
        <v>4208.43</v>
      </c>
      <c r="G368" s="1"/>
    </row>
    <row r="369" spans="1:7" ht="15" customHeight="1">
      <c r="A369" s="626"/>
      <c r="B369" s="627" t="s">
        <v>274</v>
      </c>
      <c r="C369" s="628"/>
      <c r="D369" s="628"/>
      <c r="E369" s="629" t="s">
        <v>275</v>
      </c>
      <c r="F369" s="631">
        <f>ROUND(F368*'Coef. resumen'!$F$23, 2)</f>
        <v>6236.89</v>
      </c>
    </row>
    <row r="370" spans="1:7" ht="15" customHeight="1" thickBot="1">
      <c r="A370" s="626"/>
      <c r="B370" s="627"/>
      <c r="C370" s="628"/>
      <c r="D370" s="628"/>
      <c r="E370" s="630"/>
      <c r="F370" s="632"/>
    </row>
    <row r="371" spans="1:7" ht="15">
      <c r="A371" s="471"/>
      <c r="B371" s="2"/>
      <c r="C371" s="329"/>
      <c r="D371" s="329"/>
      <c r="E371" s="329"/>
      <c r="F371" s="329"/>
    </row>
    <row r="372" spans="1:7" ht="15">
      <c r="A372" s="471"/>
      <c r="B372" s="2"/>
      <c r="C372" s="329"/>
      <c r="D372" s="329"/>
      <c r="E372" s="329"/>
      <c r="F372" s="329"/>
    </row>
    <row r="373" spans="1:7" ht="15">
      <c r="A373" s="471"/>
      <c r="B373" s="194" t="str">
        <f>'Coef. resumen'!$B$30</f>
        <v>Julián Antonelli</v>
      </c>
      <c r="C373" s="524"/>
      <c r="D373" s="524"/>
      <c r="E373" s="194" t="str">
        <f>'Coef. resumen'!$E$30</f>
        <v>Marcelo A. Pasquini</v>
      </c>
      <c r="F373" s="524"/>
    </row>
    <row r="374" spans="1:7" ht="15">
      <c r="A374" s="471"/>
      <c r="B374" s="194" t="str">
        <f>'Coef. resumen'!$B$31</f>
        <v>Ing. Civil M.P. 2161</v>
      </c>
      <c r="C374" s="524"/>
      <c r="D374" s="524"/>
      <c r="E374" s="194" t="str">
        <f>'Coef. resumen'!$E$31</f>
        <v>Socio Gerente</v>
      </c>
      <c r="F374" s="524"/>
    </row>
    <row r="375" spans="1:7" ht="15">
      <c r="A375" s="471"/>
      <c r="B375" s="194" t="str">
        <f>'Coef. resumen'!$B$32</f>
        <v>Representante Técnico</v>
      </c>
      <c r="C375" s="524"/>
      <c r="D375" s="19"/>
      <c r="E375" s="194" t="str">
        <f>'Coef. resumen'!$E$32</f>
        <v>Pasquini Construcciones SRL</v>
      </c>
      <c r="F375" s="524"/>
    </row>
    <row r="376" spans="1:7" ht="15">
      <c r="A376" s="471"/>
      <c r="B376" s="194"/>
      <c r="C376" s="329"/>
      <c r="D376" s="19"/>
      <c r="E376" s="194"/>
      <c r="F376" s="329"/>
    </row>
    <row r="377" spans="1:7" ht="14.1" customHeight="1">
      <c r="A377" s="477" t="s">
        <v>142</v>
      </c>
      <c r="B377" s="613" t="str">
        <f>Presupuesto!B31</f>
        <v>Prov.y coloc. de Hidrante 75 mm- Incluye construcción de cámara</v>
      </c>
      <c r="C377" s="614"/>
      <c r="D377" s="615"/>
      <c r="E377" s="367" t="s">
        <v>143</v>
      </c>
      <c r="F377" s="30" t="str">
        <f>Presupuesto!C31</f>
        <v>Un</v>
      </c>
      <c r="G377" s="1"/>
    </row>
    <row r="378" spans="1:7" ht="14.1" customHeight="1">
      <c r="A378" s="622" t="str">
        <f>Presupuesto!A31</f>
        <v>1.3.1</v>
      </c>
      <c r="B378" s="616"/>
      <c r="C378" s="617"/>
      <c r="D378" s="618"/>
      <c r="E378" s="367"/>
      <c r="F378" s="367"/>
      <c r="G378" s="1"/>
    </row>
    <row r="379" spans="1:7" ht="14.1" customHeight="1">
      <c r="A379" s="622"/>
      <c r="B379" s="616"/>
      <c r="C379" s="617"/>
      <c r="D379" s="618"/>
      <c r="E379" s="367"/>
      <c r="F379" s="367"/>
      <c r="G379" s="1"/>
    </row>
    <row r="380" spans="1:7" ht="14.1" customHeight="1">
      <c r="A380" s="623"/>
      <c r="B380" s="619"/>
      <c r="C380" s="620"/>
      <c r="D380" s="621"/>
      <c r="E380" s="367"/>
      <c r="F380" s="367"/>
      <c r="G380" s="1"/>
    </row>
    <row r="381" spans="1:7" ht="14.1" customHeight="1">
      <c r="A381" s="478"/>
      <c r="B381" s="29"/>
      <c r="C381" s="368"/>
      <c r="D381" s="368"/>
      <c r="E381" s="365"/>
      <c r="F381" s="365"/>
      <c r="G381" s="1"/>
    </row>
    <row r="382" spans="1:7" ht="14.1" customHeight="1">
      <c r="A382" s="624" t="s">
        <v>144</v>
      </c>
      <c r="B382" s="624"/>
      <c r="C382" s="624"/>
      <c r="D382" s="624"/>
      <c r="E382" s="624"/>
      <c r="F382" s="624"/>
      <c r="G382" s="1"/>
    </row>
    <row r="383" spans="1:7" ht="14.1" customHeight="1">
      <c r="A383" s="479"/>
      <c r="B383" s="10"/>
      <c r="C383" s="327"/>
      <c r="D383" s="327"/>
      <c r="E383" s="327"/>
      <c r="F383" s="327"/>
      <c r="G383" s="1"/>
    </row>
    <row r="384" spans="1:7" ht="15.95" customHeight="1">
      <c r="A384" s="480" t="s">
        <v>145</v>
      </c>
      <c r="B384" s="11" t="s">
        <v>146</v>
      </c>
      <c r="C384" s="11" t="s">
        <v>147</v>
      </c>
      <c r="D384" s="11" t="s">
        <v>148</v>
      </c>
      <c r="E384" s="12" t="s">
        <v>149</v>
      </c>
      <c r="F384" s="11" t="s">
        <v>150</v>
      </c>
      <c r="G384" s="1"/>
    </row>
    <row r="385" spans="1:7" ht="14.1" customHeight="1">
      <c r="A385" s="480">
        <v>1</v>
      </c>
      <c r="B385" s="331" t="s">
        <v>1009</v>
      </c>
      <c r="C385" s="332" t="s">
        <v>3</v>
      </c>
      <c r="D385" s="332">
        <v>1</v>
      </c>
      <c r="E385" s="18">
        <f>'MAT 31-10-2013'!R227</f>
        <v>1492.7685950413227</v>
      </c>
      <c r="F385" s="375">
        <f>ROUND(D385*E385, 2)</f>
        <v>1492.77</v>
      </c>
      <c r="G385" s="1"/>
    </row>
    <row r="386" spans="1:7" ht="14.1" customHeight="1">
      <c r="A386" s="480">
        <v>2</v>
      </c>
      <c r="B386" s="331" t="s">
        <v>999</v>
      </c>
      <c r="C386" s="332" t="s">
        <v>3</v>
      </c>
      <c r="D386" s="332">
        <v>120</v>
      </c>
      <c r="E386" s="18">
        <f>'MAT 31-10-2013'!R$59</f>
        <v>2.3197887970615243</v>
      </c>
      <c r="F386" s="375">
        <f t="shared" ref="F386:F396" si="18">ROUND(D386*E386, 2)</f>
        <v>278.37</v>
      </c>
      <c r="G386" s="1"/>
    </row>
    <row r="387" spans="1:7" ht="14.1" customHeight="1">
      <c r="A387" s="480">
        <v>3</v>
      </c>
      <c r="B387" s="331" t="s">
        <v>1000</v>
      </c>
      <c r="C387" s="332" t="s">
        <v>53</v>
      </c>
      <c r="D387" s="332">
        <v>0.05</v>
      </c>
      <c r="E387" s="18">
        <f>'MAT 31-10-2013'!R$7</f>
        <v>39.059027777777771</v>
      </c>
      <c r="F387" s="375">
        <f t="shared" si="18"/>
        <v>1.95</v>
      </c>
      <c r="G387" s="1"/>
    </row>
    <row r="388" spans="1:7" ht="14.1" customHeight="1">
      <c r="A388" s="480">
        <v>4</v>
      </c>
      <c r="B388" s="331" t="s">
        <v>1001</v>
      </c>
      <c r="C388" s="332" t="s">
        <v>53</v>
      </c>
      <c r="D388" s="332">
        <v>0.33</v>
      </c>
      <c r="E388" s="18">
        <f>'MAT 31-10-2013'!R$5</f>
        <v>39.059027777777771</v>
      </c>
      <c r="F388" s="375">
        <f t="shared" si="18"/>
        <v>12.89</v>
      </c>
      <c r="G388" s="1"/>
    </row>
    <row r="389" spans="1:7" ht="14.1" customHeight="1">
      <c r="A389" s="480">
        <v>5</v>
      </c>
      <c r="B389" s="331" t="s">
        <v>1002</v>
      </c>
      <c r="C389" s="332" t="s">
        <v>362</v>
      </c>
      <c r="D389" s="332">
        <v>120</v>
      </c>
      <c r="E389" s="18">
        <f>'MAT 31-10-2013'!R$14</f>
        <v>1.013611111111111</v>
      </c>
      <c r="F389" s="375">
        <f t="shared" si="18"/>
        <v>121.63</v>
      </c>
      <c r="G389" s="1"/>
    </row>
    <row r="390" spans="1:7" ht="14.1" customHeight="1">
      <c r="A390" s="480">
        <v>6</v>
      </c>
      <c r="B390" s="331" t="s">
        <v>368</v>
      </c>
      <c r="C390" s="332" t="s">
        <v>362</v>
      </c>
      <c r="D390" s="332">
        <v>2.8</v>
      </c>
      <c r="E390" s="18">
        <f>'MAT 31-10-2013'!R$17</f>
        <v>5.232499999999999</v>
      </c>
      <c r="F390" s="375">
        <f t="shared" si="18"/>
        <v>14.65</v>
      </c>
      <c r="G390" s="1"/>
    </row>
    <row r="391" spans="1:7" ht="14.1" customHeight="1">
      <c r="A391" s="480">
        <v>7</v>
      </c>
      <c r="B391" s="331" t="s">
        <v>1003</v>
      </c>
      <c r="C391" s="332" t="s">
        <v>362</v>
      </c>
      <c r="D391" s="332">
        <v>6</v>
      </c>
      <c r="E391" s="18">
        <f>'MAT 31-10-2013'!R$32</f>
        <v>11.376875</v>
      </c>
      <c r="F391" s="375">
        <f t="shared" si="18"/>
        <v>68.260000000000005</v>
      </c>
      <c r="G391" s="1"/>
    </row>
    <row r="392" spans="1:7" ht="14.1" customHeight="1">
      <c r="A392" s="480">
        <v>8</v>
      </c>
      <c r="B392" s="331" t="s">
        <v>1017</v>
      </c>
      <c r="C392" s="332" t="s">
        <v>3</v>
      </c>
      <c r="D392" s="332">
        <v>1</v>
      </c>
      <c r="E392" s="18">
        <v>300</v>
      </c>
      <c r="F392" s="375">
        <f t="shared" si="18"/>
        <v>300</v>
      </c>
      <c r="G392" s="1"/>
    </row>
    <row r="393" spans="1:7" ht="14.1" customHeight="1">
      <c r="A393" s="480">
        <v>9</v>
      </c>
      <c r="B393" s="220"/>
      <c r="C393" s="324"/>
      <c r="D393" s="224"/>
      <c r="E393" s="18"/>
      <c r="F393" s="375">
        <f t="shared" si="18"/>
        <v>0</v>
      </c>
      <c r="G393" s="1"/>
    </row>
    <row r="394" spans="1:7" ht="14.1" customHeight="1">
      <c r="A394" s="480">
        <v>10</v>
      </c>
      <c r="B394" s="13"/>
      <c r="C394" s="11"/>
      <c r="D394" s="14"/>
      <c r="E394" s="18"/>
      <c r="F394" s="375">
        <f t="shared" si="18"/>
        <v>0</v>
      </c>
      <c r="G394" s="1"/>
    </row>
    <row r="395" spans="1:7" ht="14.1" customHeight="1">
      <c r="A395" s="480">
        <v>11</v>
      </c>
      <c r="B395" s="13"/>
      <c r="C395" s="11"/>
      <c r="D395" s="11"/>
      <c r="E395" s="18"/>
      <c r="F395" s="375">
        <f t="shared" si="18"/>
        <v>0</v>
      </c>
      <c r="G395" s="1"/>
    </row>
    <row r="396" spans="1:7" ht="14.1" customHeight="1" thickBot="1">
      <c r="A396" s="480">
        <v>12</v>
      </c>
      <c r="B396" s="13"/>
      <c r="C396" s="11"/>
      <c r="D396" s="11"/>
      <c r="E396" s="18"/>
      <c r="F396" s="375">
        <f t="shared" si="18"/>
        <v>0</v>
      </c>
      <c r="G396" s="1"/>
    </row>
    <row r="397" spans="1:7" ht="14.1" customHeight="1" thickBot="1">
      <c r="A397" s="481"/>
      <c r="B397" s="5"/>
      <c r="C397" s="367"/>
      <c r="D397" s="367"/>
      <c r="E397" s="367" t="s">
        <v>151</v>
      </c>
      <c r="F397" s="376">
        <f>SUM(F385:F396)</f>
        <v>2290.5200000000004</v>
      </c>
      <c r="G397" s="1"/>
    </row>
    <row r="398" spans="1:7" ht="14.1" customHeight="1">
      <c r="A398" s="482"/>
      <c r="B398" s="325"/>
      <c r="C398" s="328"/>
      <c r="D398" s="328"/>
      <c r="E398" s="328"/>
      <c r="F398" s="328"/>
      <c r="G398" s="1"/>
    </row>
    <row r="399" spans="1:7" ht="14.1" customHeight="1">
      <c r="A399" s="625" t="s">
        <v>152</v>
      </c>
      <c r="B399" s="625"/>
      <c r="C399" s="625"/>
      <c r="D399" s="625"/>
      <c r="E399" s="625"/>
      <c r="F399" s="625"/>
      <c r="G399" s="1"/>
    </row>
    <row r="400" spans="1:7" ht="14.1" customHeight="1">
      <c r="A400" s="482"/>
      <c r="B400" s="325"/>
      <c r="C400" s="328"/>
      <c r="D400" s="328"/>
      <c r="E400" s="328"/>
      <c r="F400" s="367"/>
      <c r="G400" s="1"/>
    </row>
    <row r="401" spans="1:7" ht="14.1" customHeight="1">
      <c r="A401" s="480">
        <v>13</v>
      </c>
      <c r="B401" s="17" t="s">
        <v>153</v>
      </c>
      <c r="C401" s="11" t="s">
        <v>154</v>
      </c>
      <c r="D401" s="330">
        <v>0</v>
      </c>
      <c r="E401" s="18">
        <f>'Mano de obra'!$J$20</f>
        <v>82.610000000000014</v>
      </c>
      <c r="F401" s="375">
        <f>ROUND(D401*E401, 2)</f>
        <v>0</v>
      </c>
      <c r="G401" s="1"/>
    </row>
    <row r="402" spans="1:7" ht="14.1" customHeight="1">
      <c r="A402" s="480">
        <v>14</v>
      </c>
      <c r="B402" s="17" t="s">
        <v>155</v>
      </c>
      <c r="C402" s="11" t="s">
        <v>154</v>
      </c>
      <c r="D402" s="330">
        <v>8</v>
      </c>
      <c r="E402" s="18">
        <f>'Mano de obra'!$J$21</f>
        <v>70.38</v>
      </c>
      <c r="F402" s="375">
        <f t="shared" ref="F402:F405" si="19">ROUND(D402*E402, 2)</f>
        <v>563.04</v>
      </c>
      <c r="G402" s="1"/>
    </row>
    <row r="403" spans="1:7" ht="14.1" customHeight="1">
      <c r="A403" s="480">
        <v>15</v>
      </c>
      <c r="B403" s="17" t="s">
        <v>156</v>
      </c>
      <c r="C403" s="11" t="s">
        <v>154</v>
      </c>
      <c r="D403" s="330">
        <v>0</v>
      </c>
      <c r="E403" s="18">
        <f>'Mano de obra'!$J$22</f>
        <v>64.78</v>
      </c>
      <c r="F403" s="375">
        <f t="shared" si="19"/>
        <v>0</v>
      </c>
      <c r="G403" s="1"/>
    </row>
    <row r="404" spans="1:7" ht="14.1" customHeight="1">
      <c r="A404" s="480">
        <v>16</v>
      </c>
      <c r="B404" s="17" t="s">
        <v>157</v>
      </c>
      <c r="C404" s="11" t="s">
        <v>154</v>
      </c>
      <c r="D404" s="330">
        <v>16</v>
      </c>
      <c r="E404" s="18">
        <f>'Mano de obra'!$J$23</f>
        <v>59.800000000000004</v>
      </c>
      <c r="F404" s="375">
        <f t="shared" si="19"/>
        <v>956.8</v>
      </c>
      <c r="G404" s="1"/>
    </row>
    <row r="405" spans="1:7" ht="14.1" customHeight="1" thickBot="1">
      <c r="A405" s="480">
        <v>17</v>
      </c>
      <c r="B405" s="13"/>
      <c r="C405" s="11"/>
      <c r="D405" s="11"/>
      <c r="E405" s="18"/>
      <c r="F405" s="375">
        <f t="shared" si="19"/>
        <v>0</v>
      </c>
      <c r="G405" s="1"/>
    </row>
    <row r="406" spans="1:7" ht="14.1" customHeight="1" thickBot="1">
      <c r="A406" s="483"/>
      <c r="B406" s="325"/>
      <c r="C406" s="328"/>
      <c r="D406" s="328"/>
      <c r="E406" s="367" t="s">
        <v>158</v>
      </c>
      <c r="F406" s="376">
        <f>SUM(F401:F405)</f>
        <v>1519.84</v>
      </c>
      <c r="G406" s="1"/>
    </row>
    <row r="407" spans="1:7" ht="14.1" customHeight="1" thickBot="1">
      <c r="A407" s="484"/>
      <c r="B407" s="325"/>
      <c r="C407" s="328"/>
      <c r="D407" s="328"/>
      <c r="E407" s="328"/>
      <c r="F407" s="367"/>
      <c r="G407" s="1"/>
    </row>
    <row r="408" spans="1:7" ht="14.1" customHeight="1" thickBot="1">
      <c r="A408" s="480"/>
      <c r="B408" s="142" t="s">
        <v>273</v>
      </c>
      <c r="C408" s="369"/>
      <c r="D408" s="369"/>
      <c r="E408" s="377" t="s">
        <v>159</v>
      </c>
      <c r="F408" s="376">
        <f>SUM(F397+F406)</f>
        <v>3810.3600000000006</v>
      </c>
      <c r="G408" s="1"/>
    </row>
    <row r="409" spans="1:7" ht="15" customHeight="1">
      <c r="A409" s="626"/>
      <c r="B409" s="627" t="s">
        <v>274</v>
      </c>
      <c r="C409" s="628"/>
      <c r="D409" s="628"/>
      <c r="E409" s="629" t="s">
        <v>275</v>
      </c>
      <c r="F409" s="631">
        <f>ROUND(F408*'Coef. resumen'!$F$23, 2)</f>
        <v>5646.95</v>
      </c>
    </row>
    <row r="410" spans="1:7" ht="15" customHeight="1" thickBot="1">
      <c r="A410" s="626"/>
      <c r="B410" s="627"/>
      <c r="C410" s="628"/>
      <c r="D410" s="628"/>
      <c r="E410" s="630"/>
      <c r="F410" s="632"/>
    </row>
    <row r="411" spans="1:7" ht="15">
      <c r="A411" s="471"/>
      <c r="B411" s="2"/>
      <c r="C411" s="329"/>
      <c r="D411" s="329"/>
      <c r="E411" s="329"/>
      <c r="F411" s="329"/>
    </row>
    <row r="412" spans="1:7" ht="15">
      <c r="A412" s="471"/>
      <c r="B412" s="2"/>
      <c r="C412" s="329"/>
      <c r="D412" s="329"/>
      <c r="E412" s="329"/>
      <c r="F412" s="329"/>
    </row>
    <row r="413" spans="1:7" ht="15">
      <c r="A413" s="471"/>
      <c r="B413" s="194" t="str">
        <f>'Coef. resumen'!$B$30</f>
        <v>Julián Antonelli</v>
      </c>
      <c r="C413" s="524"/>
      <c r="D413" s="524"/>
      <c r="E413" s="194" t="str">
        <f>'Coef. resumen'!$E$30</f>
        <v>Marcelo A. Pasquini</v>
      </c>
      <c r="F413" s="524"/>
    </row>
    <row r="414" spans="1:7" ht="15">
      <c r="A414" s="471"/>
      <c r="B414" s="194" t="str">
        <f>'Coef. resumen'!$B$31</f>
        <v>Ing. Civil M.P. 2161</v>
      </c>
      <c r="C414" s="524"/>
      <c r="D414" s="524"/>
      <c r="E414" s="194" t="str">
        <f>'Coef. resumen'!$E$31</f>
        <v>Socio Gerente</v>
      </c>
      <c r="F414" s="524"/>
    </row>
    <row r="415" spans="1:7" ht="15">
      <c r="A415" s="471"/>
      <c r="B415" s="194" t="str">
        <f>'Coef. resumen'!$B$32</f>
        <v>Representante Técnico</v>
      </c>
      <c r="C415" s="524"/>
      <c r="D415" s="19"/>
      <c r="E415" s="194" t="str">
        <f>'Coef. resumen'!$E$32</f>
        <v>Pasquini Construcciones SRL</v>
      </c>
      <c r="F415" s="524"/>
    </row>
    <row r="416" spans="1:7" ht="15">
      <c r="A416" s="471"/>
      <c r="B416" s="194"/>
      <c r="C416" s="329"/>
      <c r="D416" s="19"/>
      <c r="E416" s="194"/>
      <c r="F416" s="329"/>
    </row>
    <row r="417" spans="1:7" ht="14.1" customHeight="1">
      <c r="A417" s="477" t="s">
        <v>142</v>
      </c>
      <c r="B417" s="613" t="str">
        <f>Presupuesto!B33</f>
        <v>Perforaciones, bomba Q=40 m³/hs a H=110m de 15 HP, caseta, alimentación eléctrica y tablero principal</v>
      </c>
      <c r="C417" s="614"/>
      <c r="D417" s="615"/>
      <c r="E417" s="367" t="s">
        <v>143</v>
      </c>
      <c r="F417" s="30" t="str">
        <f>Presupuesto!C33</f>
        <v>Un</v>
      </c>
      <c r="G417" s="1"/>
    </row>
    <row r="418" spans="1:7" ht="14.1" customHeight="1">
      <c r="A418" s="622" t="str">
        <f>Presupuesto!A33</f>
        <v>1.4.1</v>
      </c>
      <c r="B418" s="616"/>
      <c r="C418" s="617"/>
      <c r="D418" s="618"/>
      <c r="E418" s="367"/>
      <c r="F418" s="367"/>
      <c r="G418" s="1"/>
    </row>
    <row r="419" spans="1:7" ht="14.1" customHeight="1">
      <c r="A419" s="622"/>
      <c r="B419" s="616"/>
      <c r="C419" s="617"/>
      <c r="D419" s="618"/>
      <c r="E419" s="367"/>
      <c r="F419" s="367"/>
      <c r="G419" s="1"/>
    </row>
    <row r="420" spans="1:7" ht="14.1" customHeight="1">
      <c r="A420" s="623"/>
      <c r="B420" s="619"/>
      <c r="C420" s="620"/>
      <c r="D420" s="621"/>
      <c r="E420" s="367"/>
      <c r="F420" s="367"/>
      <c r="G420" s="1"/>
    </row>
    <row r="421" spans="1:7" ht="14.1" customHeight="1">
      <c r="A421" s="478"/>
      <c r="B421" s="29"/>
      <c r="C421" s="368"/>
      <c r="D421" s="368"/>
      <c r="E421" s="365"/>
      <c r="F421" s="365"/>
      <c r="G421" s="1"/>
    </row>
    <row r="422" spans="1:7" ht="14.1" customHeight="1">
      <c r="A422" s="624" t="s">
        <v>144</v>
      </c>
      <c r="B422" s="624"/>
      <c r="C422" s="624"/>
      <c r="D422" s="624"/>
      <c r="E422" s="624"/>
      <c r="F422" s="624"/>
      <c r="G422" s="1"/>
    </row>
    <row r="423" spans="1:7" ht="14.1" customHeight="1">
      <c r="A423" s="479"/>
      <c r="B423" s="10"/>
      <c r="C423" s="327"/>
      <c r="D423" s="327"/>
      <c r="E423" s="327"/>
      <c r="F423" s="327"/>
      <c r="G423" s="1"/>
    </row>
    <row r="424" spans="1:7" ht="15.95" customHeight="1">
      <c r="A424" s="480" t="s">
        <v>145</v>
      </c>
      <c r="B424" s="11" t="s">
        <v>146</v>
      </c>
      <c r="C424" s="11" t="s">
        <v>147</v>
      </c>
      <c r="D424" s="11" t="s">
        <v>148</v>
      </c>
      <c r="E424" s="12" t="s">
        <v>149</v>
      </c>
      <c r="F424" s="11" t="s">
        <v>150</v>
      </c>
      <c r="G424" s="1"/>
    </row>
    <row r="425" spans="1:7" ht="14.1" customHeight="1">
      <c r="A425" s="480">
        <v>1</v>
      </c>
      <c r="B425" s="331" t="s">
        <v>1021</v>
      </c>
      <c r="C425" s="332" t="s">
        <v>12</v>
      </c>
      <c r="D425" s="14">
        <v>40</v>
      </c>
      <c r="E425" s="18">
        <f>'MAT 31-10-2013'!R342*1.3</f>
        <v>1560.40625</v>
      </c>
      <c r="F425" s="375">
        <f>ROUND(D425*E425, 2)</f>
        <v>62416.25</v>
      </c>
      <c r="G425" s="1"/>
    </row>
    <row r="426" spans="1:7" ht="14.1" customHeight="1">
      <c r="A426" s="480">
        <v>2</v>
      </c>
      <c r="B426" s="331" t="s">
        <v>1022</v>
      </c>
      <c r="C426" s="332" t="s">
        <v>3</v>
      </c>
      <c r="D426" s="14">
        <v>1</v>
      </c>
      <c r="E426" s="18">
        <v>40000</v>
      </c>
      <c r="F426" s="375">
        <f t="shared" ref="F426:F436" si="20">ROUND(D426*E426, 2)</f>
        <v>40000</v>
      </c>
      <c r="G426" s="1"/>
    </row>
    <row r="427" spans="1:7" ht="14.1" customHeight="1">
      <c r="A427" s="480">
        <v>3</v>
      </c>
      <c r="B427" s="331" t="s">
        <v>328</v>
      </c>
      <c r="C427" s="332" t="s">
        <v>53</v>
      </c>
      <c r="D427" s="14">
        <v>1.3</v>
      </c>
      <c r="E427" s="18">
        <f>'MAT 31-10-2013'!R5</f>
        <v>39.059027777777771</v>
      </c>
      <c r="F427" s="375">
        <f t="shared" si="20"/>
        <v>50.78</v>
      </c>
      <c r="G427" s="1"/>
    </row>
    <row r="428" spans="1:7" ht="14.1" customHeight="1">
      <c r="A428" s="480">
        <v>4</v>
      </c>
      <c r="B428" s="331" t="s">
        <v>1000</v>
      </c>
      <c r="C428" s="332" t="s">
        <v>53</v>
      </c>
      <c r="D428" s="14">
        <v>1.3</v>
      </c>
      <c r="E428" s="18">
        <f>'MAT 31-10-2013'!R7</f>
        <v>39.059027777777771</v>
      </c>
      <c r="F428" s="375">
        <f t="shared" si="20"/>
        <v>50.78</v>
      </c>
      <c r="G428" s="1"/>
    </row>
    <row r="429" spans="1:7" ht="14.1" customHeight="1">
      <c r="A429" s="480">
        <v>5</v>
      </c>
      <c r="B429" s="331" t="s">
        <v>1002</v>
      </c>
      <c r="C429" s="332" t="s">
        <v>362</v>
      </c>
      <c r="D429" s="14">
        <f>300*2+20*2*10</f>
        <v>1000</v>
      </c>
      <c r="E429" s="18">
        <f>'MAT 31-10-2013'!R14</f>
        <v>1.013611111111111</v>
      </c>
      <c r="F429" s="375">
        <f t="shared" si="20"/>
        <v>1013.61</v>
      </c>
      <c r="G429" s="1"/>
    </row>
    <row r="430" spans="1:7" ht="14.1" customHeight="1">
      <c r="A430" s="480">
        <v>6</v>
      </c>
      <c r="B430" s="331" t="s">
        <v>1003</v>
      </c>
      <c r="C430" s="332" t="s">
        <v>362</v>
      </c>
      <c r="D430" s="14">
        <v>150</v>
      </c>
      <c r="E430" s="18">
        <f>'MAT 31-10-2013'!R32</f>
        <v>11.376875</v>
      </c>
      <c r="F430" s="375">
        <f t="shared" si="20"/>
        <v>1706.53</v>
      </c>
      <c r="G430" s="1"/>
    </row>
    <row r="431" spans="1:7" ht="14.1" customHeight="1">
      <c r="A431" s="480">
        <v>7</v>
      </c>
      <c r="B431" s="331" t="s">
        <v>999</v>
      </c>
      <c r="C431" s="332" t="s">
        <v>3</v>
      </c>
      <c r="D431" s="14">
        <f>20*60</f>
        <v>1200</v>
      </c>
      <c r="E431" s="18">
        <f>'MAT 31-10-2013'!R59</f>
        <v>2.3197887970615243</v>
      </c>
      <c r="F431" s="375">
        <f t="shared" si="20"/>
        <v>2783.75</v>
      </c>
      <c r="G431" s="1"/>
    </row>
    <row r="432" spans="1:7" ht="14.1" customHeight="1">
      <c r="A432" s="480">
        <v>8</v>
      </c>
      <c r="B432" s="331" t="s">
        <v>1023</v>
      </c>
      <c r="C432" s="332" t="s">
        <v>55</v>
      </c>
      <c r="D432" s="14">
        <v>8</v>
      </c>
      <c r="E432" s="18">
        <f>'MAT 31-10-2013'!R50</f>
        <v>54.595847222222226</v>
      </c>
      <c r="F432" s="375">
        <f t="shared" si="20"/>
        <v>436.77</v>
      </c>
      <c r="G432" s="1"/>
    </row>
    <row r="433" spans="1:7" ht="14.1" customHeight="1">
      <c r="A433" s="480">
        <v>9</v>
      </c>
      <c r="B433" s="220" t="s">
        <v>1024</v>
      </c>
      <c r="C433" s="324" t="s">
        <v>3</v>
      </c>
      <c r="D433" s="14">
        <v>1</v>
      </c>
      <c r="E433" s="18">
        <f>'MAT 31-10-2013'!R122</f>
        <v>1524.6000000000001</v>
      </c>
      <c r="F433" s="375">
        <f t="shared" si="20"/>
        <v>1524.6</v>
      </c>
      <c r="G433" s="1"/>
    </row>
    <row r="434" spans="1:7" ht="14.1" customHeight="1">
      <c r="A434" s="480">
        <v>10</v>
      </c>
      <c r="B434" s="13" t="s">
        <v>1025</v>
      </c>
      <c r="C434" s="11" t="s">
        <v>1026</v>
      </c>
      <c r="D434" s="14">
        <v>1</v>
      </c>
      <c r="E434" s="18">
        <f>E426*0.2</f>
        <v>8000</v>
      </c>
      <c r="F434" s="375">
        <f t="shared" si="20"/>
        <v>8000</v>
      </c>
      <c r="G434" s="1"/>
    </row>
    <row r="435" spans="1:7" ht="14.1" customHeight="1">
      <c r="A435" s="480">
        <v>11</v>
      </c>
      <c r="B435" s="13"/>
      <c r="C435" s="11"/>
      <c r="D435" s="11"/>
      <c r="E435" s="18"/>
      <c r="F435" s="375">
        <f t="shared" si="20"/>
        <v>0</v>
      </c>
      <c r="G435" s="1"/>
    </row>
    <row r="436" spans="1:7" ht="14.1" customHeight="1" thickBot="1">
      <c r="A436" s="480">
        <v>12</v>
      </c>
      <c r="B436" s="13"/>
      <c r="C436" s="11"/>
      <c r="D436" s="11"/>
      <c r="E436" s="18"/>
      <c r="F436" s="375">
        <f t="shared" si="20"/>
        <v>0</v>
      </c>
      <c r="G436" s="1"/>
    </row>
    <row r="437" spans="1:7" ht="14.1" customHeight="1" thickBot="1">
      <c r="A437" s="481"/>
      <c r="B437" s="5"/>
      <c r="C437" s="367"/>
      <c r="D437" s="367"/>
      <c r="E437" s="367" t="s">
        <v>151</v>
      </c>
      <c r="F437" s="376">
        <f>SUM(F425:F436)</f>
        <v>117983.07</v>
      </c>
      <c r="G437" s="1"/>
    </row>
    <row r="438" spans="1:7" ht="14.1" customHeight="1">
      <c r="A438" s="482"/>
      <c r="B438" s="325"/>
      <c r="C438" s="328"/>
      <c r="D438" s="328"/>
      <c r="E438" s="328"/>
      <c r="F438" s="328"/>
      <c r="G438" s="1"/>
    </row>
    <row r="439" spans="1:7" ht="14.1" customHeight="1">
      <c r="A439" s="625" t="s">
        <v>152</v>
      </c>
      <c r="B439" s="625"/>
      <c r="C439" s="625"/>
      <c r="D439" s="625"/>
      <c r="E439" s="625"/>
      <c r="F439" s="625"/>
      <c r="G439" s="1"/>
    </row>
    <row r="440" spans="1:7" ht="14.1" customHeight="1">
      <c r="A440" s="482"/>
      <c r="B440" s="325"/>
      <c r="C440" s="328"/>
      <c r="D440" s="328"/>
      <c r="E440" s="328"/>
      <c r="F440" s="367"/>
      <c r="G440" s="1"/>
    </row>
    <row r="441" spans="1:7" ht="14.1" customHeight="1">
      <c r="A441" s="480">
        <v>13</v>
      </c>
      <c r="B441" s="17" t="s">
        <v>153</v>
      </c>
      <c r="C441" s="11" t="s">
        <v>154</v>
      </c>
      <c r="D441" s="330">
        <v>30</v>
      </c>
      <c r="E441" s="18">
        <f>'Mano de obra'!$J$20</f>
        <v>82.610000000000014</v>
      </c>
      <c r="F441" s="375">
        <f>ROUND(D441*E441, 2)</f>
        <v>2478.3000000000002</v>
      </c>
      <c r="G441" s="1"/>
    </row>
    <row r="442" spans="1:7" ht="14.1" customHeight="1">
      <c r="A442" s="480">
        <v>14</v>
      </c>
      <c r="B442" s="17" t="s">
        <v>155</v>
      </c>
      <c r="C442" s="11" t="s">
        <v>154</v>
      </c>
      <c r="D442" s="330">
        <v>30</v>
      </c>
      <c r="E442" s="18">
        <f>'Mano de obra'!$J$21</f>
        <v>70.38</v>
      </c>
      <c r="F442" s="375">
        <f t="shared" ref="F442:F445" si="21">ROUND(D442*E442, 2)</f>
        <v>2111.4</v>
      </c>
      <c r="G442" s="1"/>
    </row>
    <row r="443" spans="1:7" ht="14.1" customHeight="1">
      <c r="A443" s="480">
        <v>15</v>
      </c>
      <c r="B443" s="17" t="s">
        <v>156</v>
      </c>
      <c r="C443" s="11" t="s">
        <v>154</v>
      </c>
      <c r="D443" s="330">
        <v>0</v>
      </c>
      <c r="E443" s="18">
        <f>'Mano de obra'!$J$22</f>
        <v>64.78</v>
      </c>
      <c r="F443" s="375">
        <f t="shared" si="21"/>
        <v>0</v>
      </c>
      <c r="G443" s="1"/>
    </row>
    <row r="444" spans="1:7" ht="14.1" customHeight="1">
      <c r="A444" s="480">
        <v>16</v>
      </c>
      <c r="B444" s="17" t="s">
        <v>157</v>
      </c>
      <c r="C444" s="11" t="s">
        <v>154</v>
      </c>
      <c r="D444" s="330">
        <v>60</v>
      </c>
      <c r="E444" s="18">
        <f>'Mano de obra'!$J$23</f>
        <v>59.800000000000004</v>
      </c>
      <c r="F444" s="375">
        <f t="shared" si="21"/>
        <v>3588</v>
      </c>
      <c r="G444" s="1"/>
    </row>
    <row r="445" spans="1:7" ht="14.1" customHeight="1" thickBot="1">
      <c r="A445" s="480">
        <v>17</v>
      </c>
      <c r="B445" s="13"/>
      <c r="C445" s="11"/>
      <c r="D445" s="11"/>
      <c r="E445" s="18"/>
      <c r="F445" s="375">
        <f t="shared" si="21"/>
        <v>0</v>
      </c>
      <c r="G445" s="1"/>
    </row>
    <row r="446" spans="1:7" ht="14.1" customHeight="1" thickBot="1">
      <c r="A446" s="483"/>
      <c r="B446" s="325"/>
      <c r="C446" s="328"/>
      <c r="D446" s="328"/>
      <c r="E446" s="367" t="s">
        <v>158</v>
      </c>
      <c r="F446" s="376">
        <f>SUM(F441:F445)</f>
        <v>8177.7000000000007</v>
      </c>
      <c r="G446" s="1"/>
    </row>
    <row r="447" spans="1:7" ht="14.1" customHeight="1" thickBot="1">
      <c r="A447" s="484"/>
      <c r="B447" s="325"/>
      <c r="C447" s="328"/>
      <c r="D447" s="328"/>
      <c r="E447" s="328"/>
      <c r="F447" s="367"/>
      <c r="G447" s="1"/>
    </row>
    <row r="448" spans="1:7" ht="14.1" customHeight="1" thickBot="1">
      <c r="A448" s="480"/>
      <c r="B448" s="142" t="s">
        <v>273</v>
      </c>
      <c r="C448" s="369"/>
      <c r="D448" s="369"/>
      <c r="E448" s="377" t="s">
        <v>159</v>
      </c>
      <c r="F448" s="376">
        <f>SUM(F437+F446)</f>
        <v>126160.77</v>
      </c>
      <c r="G448" s="1"/>
    </row>
    <row r="449" spans="1:7" ht="15" customHeight="1">
      <c r="A449" s="626"/>
      <c r="B449" s="627" t="s">
        <v>274</v>
      </c>
      <c r="C449" s="628"/>
      <c r="D449" s="628"/>
      <c r="E449" s="629" t="s">
        <v>275</v>
      </c>
      <c r="F449" s="631">
        <f>ROUND(F448*'Coef. resumen'!$F$23, 2)</f>
        <v>186970.26</v>
      </c>
    </row>
    <row r="450" spans="1:7" ht="15" customHeight="1" thickBot="1">
      <c r="A450" s="626"/>
      <c r="B450" s="627"/>
      <c r="C450" s="628"/>
      <c r="D450" s="628"/>
      <c r="E450" s="630"/>
      <c r="F450" s="632"/>
    </row>
    <row r="451" spans="1:7" ht="15">
      <c r="A451" s="471"/>
      <c r="B451" s="2"/>
      <c r="C451" s="329"/>
      <c r="D451" s="329"/>
      <c r="E451" s="329"/>
      <c r="F451" s="329"/>
    </row>
    <row r="452" spans="1:7" ht="15">
      <c r="A452" s="471"/>
      <c r="B452" s="2"/>
      <c r="C452" s="329"/>
      <c r="D452" s="329"/>
      <c r="E452" s="329"/>
      <c r="F452" s="329"/>
    </row>
    <row r="453" spans="1:7" ht="15">
      <c r="A453" s="471"/>
      <c r="B453" s="194" t="str">
        <f>'Coef. resumen'!$B$30</f>
        <v>Julián Antonelli</v>
      </c>
      <c r="C453" s="524"/>
      <c r="D453" s="524"/>
      <c r="E453" s="194" t="str">
        <f>'Coef. resumen'!$E$30</f>
        <v>Marcelo A. Pasquini</v>
      </c>
      <c r="F453" s="524"/>
    </row>
    <row r="454" spans="1:7" ht="15">
      <c r="A454" s="471"/>
      <c r="B454" s="194" t="str">
        <f>'Coef. resumen'!$B$31</f>
        <v>Ing. Civil M.P. 2161</v>
      </c>
      <c r="C454" s="524"/>
      <c r="D454" s="524"/>
      <c r="E454" s="194" t="str">
        <f>'Coef. resumen'!$E$31</f>
        <v>Socio Gerente</v>
      </c>
      <c r="F454" s="524"/>
    </row>
    <row r="455" spans="1:7" ht="15">
      <c r="A455" s="471"/>
      <c r="B455" s="194" t="str">
        <f>'Coef. resumen'!$B$32</f>
        <v>Representante Técnico</v>
      </c>
      <c r="C455" s="524"/>
      <c r="D455" s="19"/>
      <c r="E455" s="194" t="str">
        <f>'Coef. resumen'!$E$32</f>
        <v>Pasquini Construcciones SRL</v>
      </c>
      <c r="F455" s="524"/>
    </row>
    <row r="456" spans="1:7" ht="15">
      <c r="A456" s="471"/>
      <c r="B456" s="194"/>
      <c r="C456" s="329"/>
      <c r="D456" s="19"/>
      <c r="E456" s="194"/>
      <c r="F456" s="329"/>
    </row>
    <row r="457" spans="1:7" ht="14.1" customHeight="1">
      <c r="A457" s="477" t="s">
        <v>142</v>
      </c>
      <c r="B457" s="613" t="str">
        <f>Presupuesto!B34</f>
        <v>Sistema de Telecomando</v>
      </c>
      <c r="C457" s="614"/>
      <c r="D457" s="615"/>
      <c r="E457" s="367" t="s">
        <v>143</v>
      </c>
      <c r="F457" s="30" t="str">
        <f>Presupuesto!C34</f>
        <v>Un</v>
      </c>
      <c r="G457" s="1"/>
    </row>
    <row r="458" spans="1:7" ht="14.1" customHeight="1">
      <c r="A458" s="622" t="str">
        <f>Presupuesto!A34</f>
        <v>1.4.2</v>
      </c>
      <c r="B458" s="616"/>
      <c r="C458" s="617"/>
      <c r="D458" s="618"/>
      <c r="E458" s="367"/>
      <c r="F458" s="367"/>
      <c r="G458" s="1"/>
    </row>
    <row r="459" spans="1:7" ht="14.1" customHeight="1">
      <c r="A459" s="622"/>
      <c r="B459" s="616"/>
      <c r="C459" s="617"/>
      <c r="D459" s="618"/>
      <c r="E459" s="367"/>
      <c r="F459" s="367"/>
      <c r="G459" s="1"/>
    </row>
    <row r="460" spans="1:7" ht="14.1" customHeight="1">
      <c r="A460" s="623"/>
      <c r="B460" s="619"/>
      <c r="C460" s="620"/>
      <c r="D460" s="621"/>
      <c r="E460" s="367"/>
      <c r="F460" s="367"/>
      <c r="G460" s="1"/>
    </row>
    <row r="461" spans="1:7" ht="14.1" customHeight="1">
      <c r="A461" s="478"/>
      <c r="B461" s="29"/>
      <c r="C461" s="368"/>
      <c r="D461" s="368"/>
      <c r="E461" s="365"/>
      <c r="F461" s="365"/>
      <c r="G461" s="1"/>
    </row>
    <row r="462" spans="1:7" ht="14.1" customHeight="1">
      <c r="A462" s="624" t="s">
        <v>144</v>
      </c>
      <c r="B462" s="624"/>
      <c r="C462" s="624"/>
      <c r="D462" s="624"/>
      <c r="E462" s="624"/>
      <c r="F462" s="624"/>
      <c r="G462" s="1"/>
    </row>
    <row r="463" spans="1:7" ht="14.1" customHeight="1">
      <c r="A463" s="479"/>
      <c r="B463" s="10"/>
      <c r="C463" s="327"/>
      <c r="D463" s="327"/>
      <c r="E463" s="327"/>
      <c r="F463" s="327"/>
      <c r="G463" s="1"/>
    </row>
    <row r="464" spans="1:7" ht="15.95" customHeight="1">
      <c r="A464" s="480" t="s">
        <v>145</v>
      </c>
      <c r="B464" s="11" t="s">
        <v>146</v>
      </c>
      <c r="C464" s="11" t="s">
        <v>147</v>
      </c>
      <c r="D464" s="11" t="s">
        <v>148</v>
      </c>
      <c r="E464" s="12" t="s">
        <v>149</v>
      </c>
      <c r="F464" s="11" t="s">
        <v>150</v>
      </c>
      <c r="G464" s="1"/>
    </row>
    <row r="465" spans="1:7" ht="14.1" customHeight="1">
      <c r="A465" s="480">
        <v>1</v>
      </c>
      <c r="B465" s="331" t="s">
        <v>1237</v>
      </c>
      <c r="C465" s="332" t="s">
        <v>1026</v>
      </c>
      <c r="D465" s="332">
        <v>1</v>
      </c>
      <c r="E465" s="18">
        <v>150000</v>
      </c>
      <c r="F465" s="375">
        <f>ROUND(D465*E465, 2)</f>
        <v>150000</v>
      </c>
      <c r="G465" s="1"/>
    </row>
    <row r="466" spans="1:7" ht="14.1" customHeight="1">
      <c r="A466" s="480">
        <v>2</v>
      </c>
      <c r="B466" s="453" t="s">
        <v>1235</v>
      </c>
      <c r="C466" s="332" t="s">
        <v>1026</v>
      </c>
      <c r="D466" s="332">
        <v>1</v>
      </c>
      <c r="E466" s="18">
        <f>F465*0.1</f>
        <v>15000</v>
      </c>
      <c r="F466" s="375">
        <f t="shared" ref="F466:F476" si="22">ROUND(D466*E466, 2)</f>
        <v>15000</v>
      </c>
      <c r="G466" s="1"/>
    </row>
    <row r="467" spans="1:7" ht="14.1" customHeight="1">
      <c r="A467" s="480">
        <v>3</v>
      </c>
      <c r="B467" s="331"/>
      <c r="C467" s="332"/>
      <c r="D467" s="332"/>
      <c r="E467" s="18"/>
      <c r="F467" s="375">
        <f t="shared" si="22"/>
        <v>0</v>
      </c>
      <c r="G467" s="1"/>
    </row>
    <row r="468" spans="1:7" ht="14.1" customHeight="1">
      <c r="A468" s="480">
        <v>4</v>
      </c>
      <c r="B468" s="331"/>
      <c r="C468" s="332"/>
      <c r="D468" s="332"/>
      <c r="E468" s="18"/>
      <c r="F468" s="375">
        <f t="shared" si="22"/>
        <v>0</v>
      </c>
      <c r="G468" s="1"/>
    </row>
    <row r="469" spans="1:7" ht="14.1" customHeight="1">
      <c r="A469" s="480">
        <v>5</v>
      </c>
      <c r="B469" s="331"/>
      <c r="C469" s="332"/>
      <c r="D469" s="332"/>
      <c r="E469" s="18"/>
      <c r="F469" s="375">
        <f t="shared" si="22"/>
        <v>0</v>
      </c>
      <c r="G469" s="1"/>
    </row>
    <row r="470" spans="1:7" ht="14.1" customHeight="1">
      <c r="A470" s="480">
        <v>6</v>
      </c>
      <c r="B470" s="331"/>
      <c r="C470" s="332"/>
      <c r="D470" s="332"/>
      <c r="E470" s="18"/>
      <c r="F470" s="375">
        <f t="shared" si="22"/>
        <v>0</v>
      </c>
      <c r="G470" s="1"/>
    </row>
    <row r="471" spans="1:7" ht="14.1" customHeight="1">
      <c r="A471" s="480">
        <v>7</v>
      </c>
      <c r="B471" s="331"/>
      <c r="C471" s="332"/>
      <c r="D471" s="332"/>
      <c r="E471" s="18"/>
      <c r="F471" s="375">
        <f t="shared" si="22"/>
        <v>0</v>
      </c>
      <c r="G471" s="1"/>
    </row>
    <row r="472" spans="1:7" ht="14.1" customHeight="1">
      <c r="A472" s="480">
        <v>8</v>
      </c>
      <c r="B472" s="331"/>
      <c r="C472" s="332"/>
      <c r="D472" s="332"/>
      <c r="E472" s="18"/>
      <c r="F472" s="375">
        <f t="shared" si="22"/>
        <v>0</v>
      </c>
      <c r="G472" s="1"/>
    </row>
    <row r="473" spans="1:7" ht="14.1" customHeight="1">
      <c r="A473" s="480">
        <v>9</v>
      </c>
      <c r="B473" s="220"/>
      <c r="C473" s="324"/>
      <c r="D473" s="224"/>
      <c r="E473" s="18"/>
      <c r="F473" s="375">
        <f t="shared" si="22"/>
        <v>0</v>
      </c>
      <c r="G473" s="1"/>
    </row>
    <row r="474" spans="1:7" ht="14.1" customHeight="1">
      <c r="A474" s="480">
        <v>10</v>
      </c>
      <c r="B474" s="13"/>
      <c r="C474" s="11"/>
      <c r="D474" s="14"/>
      <c r="E474" s="18"/>
      <c r="F474" s="375">
        <f t="shared" si="22"/>
        <v>0</v>
      </c>
      <c r="G474" s="1"/>
    </row>
    <row r="475" spans="1:7" ht="14.1" customHeight="1">
      <c r="A475" s="480">
        <v>11</v>
      </c>
      <c r="B475" s="13"/>
      <c r="C475" s="11"/>
      <c r="D475" s="11"/>
      <c r="E475" s="18"/>
      <c r="F475" s="375">
        <f t="shared" si="22"/>
        <v>0</v>
      </c>
      <c r="G475" s="1"/>
    </row>
    <row r="476" spans="1:7" ht="14.1" customHeight="1" thickBot="1">
      <c r="A476" s="480">
        <v>12</v>
      </c>
      <c r="B476" s="13"/>
      <c r="C476" s="11"/>
      <c r="D476" s="11"/>
      <c r="E476" s="18"/>
      <c r="F476" s="375">
        <f t="shared" si="22"/>
        <v>0</v>
      </c>
      <c r="G476" s="1"/>
    </row>
    <row r="477" spans="1:7" ht="14.1" customHeight="1" thickBot="1">
      <c r="A477" s="481"/>
      <c r="B477" s="5"/>
      <c r="C477" s="367"/>
      <c r="D477" s="367"/>
      <c r="E477" s="367" t="s">
        <v>151</v>
      </c>
      <c r="F477" s="376">
        <f>SUM(F465:F476)</f>
        <v>165000</v>
      </c>
      <c r="G477" s="1"/>
    </row>
    <row r="478" spans="1:7" ht="14.1" customHeight="1">
      <c r="A478" s="482"/>
      <c r="B478" s="325"/>
      <c r="C478" s="328"/>
      <c r="D478" s="328"/>
      <c r="E478" s="328"/>
      <c r="F478" s="328"/>
      <c r="G478" s="1"/>
    </row>
    <row r="479" spans="1:7" ht="14.1" customHeight="1">
      <c r="A479" s="625" t="s">
        <v>152</v>
      </c>
      <c r="B479" s="625"/>
      <c r="C479" s="625"/>
      <c r="D479" s="625"/>
      <c r="E479" s="625"/>
      <c r="F479" s="625"/>
      <c r="G479" s="1"/>
    </row>
    <row r="480" spans="1:7" ht="14.1" customHeight="1">
      <c r="A480" s="482"/>
      <c r="B480" s="325"/>
      <c r="C480" s="328"/>
      <c r="D480" s="328"/>
      <c r="E480" s="328"/>
      <c r="F480" s="367"/>
      <c r="G480" s="1"/>
    </row>
    <row r="481" spans="1:7" ht="14.1" customHeight="1">
      <c r="A481" s="480">
        <v>13</v>
      </c>
      <c r="B481" s="17" t="s">
        <v>153</v>
      </c>
      <c r="C481" s="11" t="s">
        <v>154</v>
      </c>
      <c r="D481" s="330">
        <v>8</v>
      </c>
      <c r="E481" s="18">
        <f>'Mano de obra'!$J$20</f>
        <v>82.610000000000014</v>
      </c>
      <c r="F481" s="375">
        <f>ROUND(D481*E481, 2)</f>
        <v>660.88</v>
      </c>
      <c r="G481" s="1"/>
    </row>
    <row r="482" spans="1:7" ht="14.1" customHeight="1">
      <c r="A482" s="480">
        <v>14</v>
      </c>
      <c r="B482" s="17" t="s">
        <v>155</v>
      </c>
      <c r="C482" s="11" t="s">
        <v>154</v>
      </c>
      <c r="D482" s="330">
        <v>8</v>
      </c>
      <c r="E482" s="18">
        <f>'Mano de obra'!$J$21</f>
        <v>70.38</v>
      </c>
      <c r="F482" s="375">
        <f t="shared" ref="F482:F485" si="23">ROUND(D482*E482, 2)</f>
        <v>563.04</v>
      </c>
      <c r="G482" s="1"/>
    </row>
    <row r="483" spans="1:7" ht="14.1" customHeight="1">
      <c r="A483" s="480">
        <v>15</v>
      </c>
      <c r="B483" s="17" t="s">
        <v>156</v>
      </c>
      <c r="C483" s="11" t="s">
        <v>154</v>
      </c>
      <c r="D483" s="330">
        <v>0</v>
      </c>
      <c r="E483" s="18">
        <f>'Mano de obra'!$J$22</f>
        <v>64.78</v>
      </c>
      <c r="F483" s="375">
        <f t="shared" si="23"/>
        <v>0</v>
      </c>
      <c r="G483" s="1"/>
    </row>
    <row r="484" spans="1:7" ht="14.1" customHeight="1">
      <c r="A484" s="480">
        <v>16</v>
      </c>
      <c r="B484" s="17" t="s">
        <v>157</v>
      </c>
      <c r="C484" s="11" t="s">
        <v>154</v>
      </c>
      <c r="D484" s="330">
        <v>8</v>
      </c>
      <c r="E484" s="18">
        <f>'Mano de obra'!$J$23</f>
        <v>59.800000000000004</v>
      </c>
      <c r="F484" s="375">
        <f t="shared" si="23"/>
        <v>478.4</v>
      </c>
      <c r="G484" s="1"/>
    </row>
    <row r="485" spans="1:7" ht="14.1" customHeight="1" thickBot="1">
      <c r="A485" s="480">
        <v>17</v>
      </c>
      <c r="B485" s="13"/>
      <c r="C485" s="11"/>
      <c r="D485" s="11"/>
      <c r="E485" s="18"/>
      <c r="F485" s="375">
        <f t="shared" si="23"/>
        <v>0</v>
      </c>
      <c r="G485" s="1"/>
    </row>
    <row r="486" spans="1:7" ht="14.1" customHeight="1" thickBot="1">
      <c r="A486" s="483"/>
      <c r="B486" s="325"/>
      <c r="C486" s="328"/>
      <c r="D486" s="328"/>
      <c r="E486" s="367" t="s">
        <v>158</v>
      </c>
      <c r="F486" s="376">
        <f>SUM(F481:F485)</f>
        <v>1702.3200000000002</v>
      </c>
      <c r="G486" s="1"/>
    </row>
    <row r="487" spans="1:7" ht="14.1" customHeight="1" thickBot="1">
      <c r="A487" s="484"/>
      <c r="B487" s="325"/>
      <c r="C487" s="328"/>
      <c r="D487" s="328"/>
      <c r="E487" s="328"/>
      <c r="F487" s="367"/>
      <c r="G487" s="1"/>
    </row>
    <row r="488" spans="1:7" ht="14.1" customHeight="1" thickBot="1">
      <c r="A488" s="480"/>
      <c r="B488" s="142" t="s">
        <v>273</v>
      </c>
      <c r="C488" s="369"/>
      <c r="D488" s="369"/>
      <c r="E488" s="377" t="s">
        <v>159</v>
      </c>
      <c r="F488" s="376">
        <f>SUM(F477+F486)</f>
        <v>166702.32</v>
      </c>
      <c r="G488" s="1"/>
    </row>
    <row r="489" spans="1:7" ht="15" customHeight="1">
      <c r="A489" s="626"/>
      <c r="B489" s="627" t="s">
        <v>274</v>
      </c>
      <c r="C489" s="628"/>
      <c r="D489" s="628"/>
      <c r="E489" s="629" t="s">
        <v>275</v>
      </c>
      <c r="F489" s="631">
        <f>ROUND(F488*'Coef. resumen'!$F$23, 2)</f>
        <v>247052.84</v>
      </c>
    </row>
    <row r="490" spans="1:7" ht="15" customHeight="1" thickBot="1">
      <c r="A490" s="626"/>
      <c r="B490" s="627"/>
      <c r="C490" s="628"/>
      <c r="D490" s="628"/>
      <c r="E490" s="630"/>
      <c r="F490" s="632"/>
    </row>
    <row r="491" spans="1:7" ht="15">
      <c r="A491" s="471"/>
      <c r="B491" s="2"/>
      <c r="C491" s="329"/>
      <c r="D491" s="329"/>
      <c r="E491" s="329"/>
      <c r="F491" s="329"/>
    </row>
    <row r="492" spans="1:7" ht="15">
      <c r="A492" s="471"/>
      <c r="B492" s="2"/>
      <c r="C492" s="329"/>
      <c r="D492" s="329"/>
      <c r="E492" s="329"/>
      <c r="F492" s="329"/>
    </row>
    <row r="493" spans="1:7" ht="15">
      <c r="A493" s="471"/>
      <c r="B493" s="194" t="str">
        <f>'Coef. resumen'!$B$30</f>
        <v>Julián Antonelli</v>
      </c>
      <c r="C493" s="524"/>
      <c r="D493" s="524"/>
      <c r="E493" s="194" t="str">
        <f>'Coef. resumen'!$E$30</f>
        <v>Marcelo A. Pasquini</v>
      </c>
      <c r="F493" s="524"/>
    </row>
    <row r="494" spans="1:7" ht="15">
      <c r="A494" s="471"/>
      <c r="B494" s="194" t="str">
        <f>'Coef. resumen'!$B$31</f>
        <v>Ing. Civil M.P. 2161</v>
      </c>
      <c r="C494" s="524"/>
      <c r="D494" s="524"/>
      <c r="E494" s="194" t="str">
        <f>'Coef. resumen'!$E$31</f>
        <v>Socio Gerente</v>
      </c>
      <c r="F494" s="524"/>
    </row>
    <row r="495" spans="1:7" ht="15">
      <c r="A495" s="471"/>
      <c r="B495" s="194" t="str">
        <f>'Coef. resumen'!$B$32</f>
        <v>Representante Técnico</v>
      </c>
      <c r="C495" s="524"/>
      <c r="D495" s="19"/>
      <c r="E495" s="194" t="str">
        <f>'Coef. resumen'!$E$32</f>
        <v>Pasquini Construcciones SRL</v>
      </c>
      <c r="F495" s="524"/>
    </row>
    <row r="496" spans="1:7" ht="15">
      <c r="A496" s="471"/>
      <c r="B496" s="194"/>
      <c r="C496" s="329"/>
      <c r="D496" s="19"/>
      <c r="E496" s="194"/>
      <c r="F496" s="329"/>
    </row>
    <row r="497" spans="1:7" ht="14.1" customHeight="1">
      <c r="A497" s="477" t="s">
        <v>142</v>
      </c>
      <c r="B497" s="613" t="str">
        <f>Presupuesto!B35</f>
        <v>Válvulas de retención, válvulas de aire, caudalímetro y válvulas mariposa de operación.</v>
      </c>
      <c r="C497" s="614"/>
      <c r="D497" s="615"/>
      <c r="E497" s="367" t="s">
        <v>143</v>
      </c>
      <c r="F497" s="30" t="str">
        <f>Presupuesto!C35</f>
        <v>Un</v>
      </c>
      <c r="G497" s="1"/>
    </row>
    <row r="498" spans="1:7" ht="14.1" customHeight="1">
      <c r="A498" s="622" t="str">
        <f>Presupuesto!A35</f>
        <v>1.4.3</v>
      </c>
      <c r="B498" s="616"/>
      <c r="C498" s="617"/>
      <c r="D498" s="618"/>
      <c r="E498" s="367"/>
      <c r="F498" s="367"/>
      <c r="G498" s="1"/>
    </row>
    <row r="499" spans="1:7" ht="14.1" customHeight="1">
      <c r="A499" s="622"/>
      <c r="B499" s="616"/>
      <c r="C499" s="617"/>
      <c r="D499" s="618"/>
      <c r="E499" s="367"/>
      <c r="F499" s="367"/>
      <c r="G499" s="1"/>
    </row>
    <row r="500" spans="1:7" ht="14.1" customHeight="1">
      <c r="A500" s="623"/>
      <c r="B500" s="619"/>
      <c r="C500" s="620"/>
      <c r="D500" s="621"/>
      <c r="E500" s="367"/>
      <c r="F500" s="367"/>
      <c r="G500" s="1"/>
    </row>
    <row r="501" spans="1:7" ht="14.1" customHeight="1">
      <c r="A501" s="478"/>
      <c r="B501" s="29"/>
      <c r="C501" s="368"/>
      <c r="D501" s="368"/>
      <c r="E501" s="365"/>
      <c r="F501" s="365"/>
      <c r="G501" s="1"/>
    </row>
    <row r="502" spans="1:7" ht="14.1" customHeight="1">
      <c r="A502" s="624" t="s">
        <v>144</v>
      </c>
      <c r="B502" s="624"/>
      <c r="C502" s="624"/>
      <c r="D502" s="624"/>
      <c r="E502" s="624"/>
      <c r="F502" s="624"/>
      <c r="G502" s="1"/>
    </row>
    <row r="503" spans="1:7" ht="14.1" customHeight="1">
      <c r="A503" s="479"/>
      <c r="B503" s="10"/>
      <c r="C503" s="327"/>
      <c r="D503" s="327"/>
      <c r="E503" s="327"/>
      <c r="F503" s="327"/>
      <c r="G503" s="1"/>
    </row>
    <row r="504" spans="1:7" ht="15.95" customHeight="1">
      <c r="A504" s="480" t="s">
        <v>145</v>
      </c>
      <c r="B504" s="11" t="s">
        <v>146</v>
      </c>
      <c r="C504" s="11" t="s">
        <v>147</v>
      </c>
      <c r="D504" s="11" t="s">
        <v>148</v>
      </c>
      <c r="E504" s="12" t="s">
        <v>149</v>
      </c>
      <c r="F504" s="11" t="s">
        <v>150</v>
      </c>
      <c r="G504" s="1"/>
    </row>
    <row r="505" spans="1:7" ht="14.1" customHeight="1">
      <c r="A505" s="480">
        <v>1</v>
      </c>
      <c r="B505" s="363" t="s">
        <v>1041</v>
      </c>
      <c r="C505" s="332" t="s">
        <v>3</v>
      </c>
      <c r="D505" s="332">
        <v>1</v>
      </c>
      <c r="E505" s="18">
        <f>'MAT 31-10-2013'!R226*1.2</f>
        <v>1890.8402203856749</v>
      </c>
      <c r="F505" s="375">
        <f>ROUND(D505*E505, 2)</f>
        <v>1890.84</v>
      </c>
      <c r="G505" s="1"/>
    </row>
    <row r="506" spans="1:7" ht="14.1" customHeight="1">
      <c r="A506" s="480">
        <v>2</v>
      </c>
      <c r="B506" s="331" t="s">
        <v>1042</v>
      </c>
      <c r="C506" s="332" t="s">
        <v>3</v>
      </c>
      <c r="D506" s="332">
        <v>1</v>
      </c>
      <c r="E506" s="18">
        <f>'MAT 31-10-2013'!R225</f>
        <v>995.17906336088174</v>
      </c>
      <c r="F506" s="375">
        <f t="shared" ref="F506:F516" si="24">ROUND(D506*E506, 2)</f>
        <v>995.18</v>
      </c>
      <c r="G506" s="1"/>
    </row>
    <row r="507" spans="1:7" ht="14.1" customHeight="1">
      <c r="A507" s="480">
        <v>3</v>
      </c>
      <c r="B507" s="331" t="s">
        <v>1043</v>
      </c>
      <c r="C507" s="332" t="s">
        <v>3</v>
      </c>
      <c r="D507" s="332">
        <v>1</v>
      </c>
      <c r="E507" s="18">
        <v>2750</v>
      </c>
      <c r="F507" s="375">
        <f t="shared" si="24"/>
        <v>2750</v>
      </c>
      <c r="G507" s="1"/>
    </row>
    <row r="508" spans="1:7" ht="14.1" customHeight="1">
      <c r="A508" s="480">
        <v>4</v>
      </c>
      <c r="B508" s="331" t="s">
        <v>1044</v>
      </c>
      <c r="C508" s="332" t="s">
        <v>1026</v>
      </c>
      <c r="D508" s="332">
        <v>1</v>
      </c>
      <c r="E508" s="18">
        <f>'MAT 31-10-2013'!R225*0.8</f>
        <v>796.14325068870539</v>
      </c>
      <c r="F508" s="375">
        <f t="shared" si="24"/>
        <v>796.14</v>
      </c>
      <c r="G508" s="1"/>
    </row>
    <row r="509" spans="1:7" ht="14.1" customHeight="1">
      <c r="A509" s="480">
        <v>5</v>
      </c>
      <c r="B509" s="331" t="s">
        <v>1045</v>
      </c>
      <c r="C509" s="332" t="s">
        <v>1026</v>
      </c>
      <c r="D509" s="332">
        <v>1</v>
      </c>
      <c r="E509" s="18">
        <f>SUM(F505:F508)*0.2</f>
        <v>1286.4320000000002</v>
      </c>
      <c r="F509" s="375">
        <f t="shared" si="24"/>
        <v>1286.43</v>
      </c>
      <c r="G509" s="1"/>
    </row>
    <row r="510" spans="1:7" ht="14.1" customHeight="1">
      <c r="A510" s="480">
        <v>6</v>
      </c>
      <c r="B510" s="331"/>
      <c r="C510" s="332"/>
      <c r="D510" s="332"/>
      <c r="E510" s="18"/>
      <c r="F510" s="375">
        <f t="shared" si="24"/>
        <v>0</v>
      </c>
      <c r="G510" s="1"/>
    </row>
    <row r="511" spans="1:7" ht="14.1" customHeight="1">
      <c r="A511" s="480">
        <v>7</v>
      </c>
      <c r="B511" s="331"/>
      <c r="C511" s="332"/>
      <c r="D511" s="332"/>
      <c r="E511" s="18"/>
      <c r="F511" s="375">
        <f t="shared" si="24"/>
        <v>0</v>
      </c>
      <c r="G511" s="1"/>
    </row>
    <row r="512" spans="1:7" ht="14.1" customHeight="1">
      <c r="A512" s="480">
        <v>8</v>
      </c>
      <c r="B512" s="331"/>
      <c r="C512" s="332"/>
      <c r="D512" s="332"/>
      <c r="E512" s="18"/>
      <c r="F512" s="375">
        <f t="shared" si="24"/>
        <v>0</v>
      </c>
      <c r="G512" s="1"/>
    </row>
    <row r="513" spans="1:7" ht="14.1" customHeight="1">
      <c r="A513" s="480">
        <v>9</v>
      </c>
      <c r="B513" s="220"/>
      <c r="C513" s="324"/>
      <c r="D513" s="224"/>
      <c r="E513" s="18"/>
      <c r="F513" s="375">
        <f t="shared" si="24"/>
        <v>0</v>
      </c>
      <c r="G513" s="1"/>
    </row>
    <row r="514" spans="1:7" ht="14.1" customHeight="1">
      <c r="A514" s="480">
        <v>10</v>
      </c>
      <c r="B514" s="13"/>
      <c r="C514" s="11"/>
      <c r="D514" s="14"/>
      <c r="E514" s="18"/>
      <c r="F514" s="375">
        <f t="shared" si="24"/>
        <v>0</v>
      </c>
      <c r="G514" s="1"/>
    </row>
    <row r="515" spans="1:7" ht="14.1" customHeight="1">
      <c r="A515" s="480">
        <v>11</v>
      </c>
      <c r="B515" s="13"/>
      <c r="C515" s="11"/>
      <c r="D515" s="11"/>
      <c r="E515" s="18"/>
      <c r="F515" s="375">
        <f t="shared" si="24"/>
        <v>0</v>
      </c>
      <c r="G515" s="1"/>
    </row>
    <row r="516" spans="1:7" ht="14.1" customHeight="1" thickBot="1">
      <c r="A516" s="480">
        <v>12</v>
      </c>
      <c r="B516" s="13"/>
      <c r="C516" s="11"/>
      <c r="D516" s="11"/>
      <c r="E516" s="18"/>
      <c r="F516" s="375">
        <f t="shared" si="24"/>
        <v>0</v>
      </c>
      <c r="G516" s="1"/>
    </row>
    <row r="517" spans="1:7" ht="14.1" customHeight="1" thickBot="1">
      <c r="A517" s="481"/>
      <c r="B517" s="5"/>
      <c r="C517" s="367"/>
      <c r="D517" s="367"/>
      <c r="E517" s="367" t="s">
        <v>151</v>
      </c>
      <c r="F517" s="376">
        <f>SUM(F505:F516)</f>
        <v>7718.5900000000011</v>
      </c>
      <c r="G517" s="1"/>
    </row>
    <row r="518" spans="1:7" ht="14.1" customHeight="1">
      <c r="A518" s="482"/>
      <c r="B518" s="325"/>
      <c r="C518" s="328"/>
      <c r="D518" s="328"/>
      <c r="E518" s="328"/>
      <c r="F518" s="328"/>
      <c r="G518" s="1"/>
    </row>
    <row r="519" spans="1:7" ht="14.1" customHeight="1">
      <c r="A519" s="625" t="s">
        <v>152</v>
      </c>
      <c r="B519" s="625"/>
      <c r="C519" s="625"/>
      <c r="D519" s="625"/>
      <c r="E519" s="625"/>
      <c r="F519" s="625"/>
      <c r="G519" s="1"/>
    </row>
    <row r="520" spans="1:7" ht="14.1" customHeight="1">
      <c r="A520" s="482"/>
      <c r="B520" s="325"/>
      <c r="C520" s="328"/>
      <c r="D520" s="328"/>
      <c r="E520" s="328"/>
      <c r="F520" s="367"/>
      <c r="G520" s="1"/>
    </row>
    <row r="521" spans="1:7" ht="14.1" customHeight="1">
      <c r="A521" s="480">
        <v>13</v>
      </c>
      <c r="B521" s="17" t="s">
        <v>153</v>
      </c>
      <c r="C521" s="11" t="s">
        <v>154</v>
      </c>
      <c r="D521" s="330">
        <v>30</v>
      </c>
      <c r="E521" s="18">
        <f>'Mano de obra'!$J$20</f>
        <v>82.610000000000014</v>
      </c>
      <c r="F521" s="375">
        <f>ROUND(D521*E521, 2)</f>
        <v>2478.3000000000002</v>
      </c>
      <c r="G521" s="1"/>
    </row>
    <row r="522" spans="1:7" ht="14.1" customHeight="1">
      <c r="A522" s="480">
        <v>14</v>
      </c>
      <c r="B522" s="17" t="s">
        <v>155</v>
      </c>
      <c r="C522" s="11" t="s">
        <v>154</v>
      </c>
      <c r="D522" s="330">
        <v>30</v>
      </c>
      <c r="E522" s="18">
        <f>'Mano de obra'!$J$21</f>
        <v>70.38</v>
      </c>
      <c r="F522" s="375">
        <f t="shared" ref="F522:F525" si="25">ROUND(D522*E522, 2)</f>
        <v>2111.4</v>
      </c>
      <c r="G522" s="1"/>
    </row>
    <row r="523" spans="1:7" ht="14.1" customHeight="1">
      <c r="A523" s="480">
        <v>15</v>
      </c>
      <c r="B523" s="17" t="s">
        <v>156</v>
      </c>
      <c r="C523" s="11" t="s">
        <v>154</v>
      </c>
      <c r="D523" s="330">
        <v>0</v>
      </c>
      <c r="E523" s="18">
        <f>'Mano de obra'!$J$22</f>
        <v>64.78</v>
      </c>
      <c r="F523" s="375">
        <f t="shared" si="25"/>
        <v>0</v>
      </c>
      <c r="G523" s="1"/>
    </row>
    <row r="524" spans="1:7" ht="14.1" customHeight="1">
      <c r="A524" s="480">
        <v>16</v>
      </c>
      <c r="B524" s="17" t="s">
        <v>157</v>
      </c>
      <c r="C524" s="11" t="s">
        <v>154</v>
      </c>
      <c r="D524" s="330">
        <v>60</v>
      </c>
      <c r="E524" s="18">
        <f>'Mano de obra'!$J$23</f>
        <v>59.800000000000004</v>
      </c>
      <c r="F524" s="375">
        <f t="shared" si="25"/>
        <v>3588</v>
      </c>
      <c r="G524" s="1"/>
    </row>
    <row r="525" spans="1:7" ht="14.1" customHeight="1" thickBot="1">
      <c r="A525" s="480">
        <v>17</v>
      </c>
      <c r="B525" s="13"/>
      <c r="C525" s="11"/>
      <c r="D525" s="11"/>
      <c r="E525" s="18"/>
      <c r="F525" s="375">
        <f t="shared" si="25"/>
        <v>0</v>
      </c>
      <c r="G525" s="1"/>
    </row>
    <row r="526" spans="1:7" ht="14.1" customHeight="1" thickBot="1">
      <c r="A526" s="483"/>
      <c r="B526" s="325"/>
      <c r="C526" s="328"/>
      <c r="D526" s="328"/>
      <c r="E526" s="367" t="s">
        <v>158</v>
      </c>
      <c r="F526" s="376">
        <f>SUM(F521:F525)</f>
        <v>8177.7000000000007</v>
      </c>
      <c r="G526" s="1"/>
    </row>
    <row r="527" spans="1:7" ht="14.1" customHeight="1" thickBot="1">
      <c r="A527" s="484"/>
      <c r="B527" s="325"/>
      <c r="C527" s="328"/>
      <c r="D527" s="328"/>
      <c r="E527" s="328"/>
      <c r="F527" s="367"/>
      <c r="G527" s="1"/>
    </row>
    <row r="528" spans="1:7" ht="14.1" customHeight="1" thickBot="1">
      <c r="A528" s="480"/>
      <c r="B528" s="142" t="s">
        <v>273</v>
      </c>
      <c r="C528" s="369"/>
      <c r="D528" s="369"/>
      <c r="E528" s="377" t="s">
        <v>159</v>
      </c>
      <c r="F528" s="376">
        <f>SUM(F517+F526)</f>
        <v>15896.29</v>
      </c>
      <c r="G528" s="1"/>
    </row>
    <row r="529" spans="1:7" ht="15" customHeight="1">
      <c r="A529" s="626"/>
      <c r="B529" s="627" t="s">
        <v>274</v>
      </c>
      <c r="C529" s="628"/>
      <c r="D529" s="628"/>
      <c r="E529" s="629" t="s">
        <v>275</v>
      </c>
      <c r="F529" s="631">
        <f>ROUND(F528*'Coef. resumen'!$F$23, 2)</f>
        <v>23558.3</v>
      </c>
    </row>
    <row r="530" spans="1:7" ht="15" customHeight="1" thickBot="1">
      <c r="A530" s="626"/>
      <c r="B530" s="627"/>
      <c r="C530" s="628"/>
      <c r="D530" s="628"/>
      <c r="E530" s="630"/>
      <c r="F530" s="632"/>
    </row>
    <row r="531" spans="1:7" ht="15">
      <c r="A531" s="471"/>
      <c r="B531" s="2"/>
      <c r="C531" s="329"/>
      <c r="D531" s="329"/>
      <c r="E531" s="329"/>
      <c r="F531" s="329"/>
    </row>
    <row r="532" spans="1:7" ht="15">
      <c r="A532" s="471"/>
      <c r="B532" s="2"/>
      <c r="C532" s="329"/>
      <c r="D532" s="329"/>
      <c r="E532" s="329"/>
      <c r="F532" s="329"/>
    </row>
    <row r="533" spans="1:7" ht="15">
      <c r="A533" s="471"/>
      <c r="B533" s="194" t="str">
        <f>'Coef. resumen'!$B$30</f>
        <v>Julián Antonelli</v>
      </c>
      <c r="C533" s="524"/>
      <c r="D533" s="524"/>
      <c r="E533" s="194" t="str">
        <f>'Coef. resumen'!$E$30</f>
        <v>Marcelo A. Pasquini</v>
      </c>
      <c r="F533" s="524"/>
    </row>
    <row r="534" spans="1:7" ht="15">
      <c r="A534" s="471"/>
      <c r="B534" s="194" t="str">
        <f>'Coef. resumen'!$B$31</f>
        <v>Ing. Civil M.P. 2161</v>
      </c>
      <c r="C534" s="524"/>
      <c r="D534" s="524"/>
      <c r="E534" s="194" t="str">
        <f>'Coef. resumen'!$E$31</f>
        <v>Socio Gerente</v>
      </c>
      <c r="F534" s="524"/>
    </row>
    <row r="535" spans="1:7" ht="15">
      <c r="A535" s="471"/>
      <c r="B535" s="194" t="str">
        <f>'Coef. resumen'!$B$32</f>
        <v>Representante Técnico</v>
      </c>
      <c r="C535" s="524"/>
      <c r="D535" s="19"/>
      <c r="E535" s="194" t="str">
        <f>'Coef. resumen'!$E$32</f>
        <v>Pasquini Construcciones SRL</v>
      </c>
      <c r="F535" s="524"/>
    </row>
    <row r="536" spans="1:7" ht="15">
      <c r="A536" s="471"/>
      <c r="B536" s="194"/>
      <c r="C536" s="329"/>
      <c r="D536" s="19"/>
      <c r="E536" s="194"/>
      <c r="F536" s="329"/>
    </row>
    <row r="537" spans="1:7" ht="14.1" customHeight="1">
      <c r="A537" s="477" t="s">
        <v>142</v>
      </c>
      <c r="B537" s="613" t="str">
        <f>Presupuesto!B37</f>
        <v>Excavación de zanja en terreno de cualquier categoría y Tapado y compactación</v>
      </c>
      <c r="C537" s="614"/>
      <c r="D537" s="615"/>
      <c r="E537" s="367" t="s">
        <v>143</v>
      </c>
      <c r="F537" s="30" t="str">
        <f>Presupuesto!C37</f>
        <v>m3</v>
      </c>
      <c r="G537" s="1"/>
    </row>
    <row r="538" spans="1:7" ht="14.1" customHeight="1">
      <c r="A538" s="622" t="str">
        <f>Presupuesto!A37</f>
        <v>1.5.1</v>
      </c>
      <c r="B538" s="616"/>
      <c r="C538" s="617"/>
      <c r="D538" s="618"/>
      <c r="E538" s="367"/>
      <c r="F538" s="367"/>
      <c r="G538" s="1"/>
    </row>
    <row r="539" spans="1:7" ht="14.1" customHeight="1">
      <c r="A539" s="622"/>
      <c r="B539" s="616"/>
      <c r="C539" s="617"/>
      <c r="D539" s="618"/>
      <c r="E539" s="367"/>
      <c r="F539" s="367"/>
      <c r="G539" s="1"/>
    </row>
    <row r="540" spans="1:7" ht="14.1" customHeight="1">
      <c r="A540" s="623"/>
      <c r="B540" s="619"/>
      <c r="C540" s="620"/>
      <c r="D540" s="621"/>
      <c r="E540" s="367"/>
      <c r="F540" s="367"/>
      <c r="G540" s="1"/>
    </row>
    <row r="541" spans="1:7" ht="14.1" customHeight="1">
      <c r="A541" s="478"/>
      <c r="B541" s="29"/>
      <c r="C541" s="368"/>
      <c r="D541" s="368"/>
      <c r="E541" s="365"/>
      <c r="F541" s="365"/>
      <c r="G541" s="1"/>
    </row>
    <row r="542" spans="1:7" ht="14.1" customHeight="1">
      <c r="A542" s="624" t="s">
        <v>144</v>
      </c>
      <c r="B542" s="624"/>
      <c r="C542" s="624"/>
      <c r="D542" s="624"/>
      <c r="E542" s="624"/>
      <c r="F542" s="624"/>
      <c r="G542" s="1"/>
    </row>
    <row r="543" spans="1:7" ht="14.1" customHeight="1">
      <c r="A543" s="479"/>
      <c r="B543" s="10"/>
      <c r="C543" s="327"/>
      <c r="D543" s="327"/>
      <c r="E543" s="327"/>
      <c r="F543" s="327"/>
      <c r="G543" s="1"/>
    </row>
    <row r="544" spans="1:7" ht="15.95" customHeight="1">
      <c r="A544" s="480" t="s">
        <v>145</v>
      </c>
      <c r="B544" s="11" t="s">
        <v>146</v>
      </c>
      <c r="C544" s="11" t="s">
        <v>147</v>
      </c>
      <c r="D544" s="11" t="s">
        <v>148</v>
      </c>
      <c r="E544" s="12" t="s">
        <v>149</v>
      </c>
      <c r="F544" s="11" t="s">
        <v>150</v>
      </c>
      <c r="G544" s="1"/>
    </row>
    <row r="545" spans="1:7" ht="14.1" customHeight="1">
      <c r="A545" s="480">
        <v>1</v>
      </c>
      <c r="B545" s="220" t="s">
        <v>322</v>
      </c>
      <c r="C545" s="221" t="s">
        <v>11</v>
      </c>
      <c r="D545" s="221">
        <v>1</v>
      </c>
      <c r="E545" s="18">
        <v>5</v>
      </c>
      <c r="F545" s="375">
        <f>ROUND(D545*E545, 2)</f>
        <v>5</v>
      </c>
      <c r="G545" s="1"/>
    </row>
    <row r="546" spans="1:7" ht="14.1" customHeight="1">
      <c r="A546" s="480">
        <v>2</v>
      </c>
      <c r="B546" s="222" t="s">
        <v>323</v>
      </c>
      <c r="C546" s="223" t="s">
        <v>329</v>
      </c>
      <c r="D546" s="224">
        <v>1.2</v>
      </c>
      <c r="E546" s="18">
        <f>'MAT 31-10-2013'!R$80</f>
        <v>6.75</v>
      </c>
      <c r="F546" s="375">
        <f t="shared" ref="F546:F556" si="26">ROUND(D546*E546, 2)</f>
        <v>8.1</v>
      </c>
      <c r="G546" s="1"/>
    </row>
    <row r="547" spans="1:7" ht="14.1" customHeight="1">
      <c r="A547" s="480">
        <v>3</v>
      </c>
      <c r="B547" s="220" t="s">
        <v>328</v>
      </c>
      <c r="C547" s="224" t="s">
        <v>53</v>
      </c>
      <c r="D547" s="224">
        <f>0.2*0.3*1</f>
        <v>0.06</v>
      </c>
      <c r="E547" s="18">
        <f>'MAT 31-10-2013'!R$5</f>
        <v>39.059027777777771</v>
      </c>
      <c r="F547" s="375">
        <f t="shared" si="26"/>
        <v>2.34</v>
      </c>
      <c r="G547" s="1"/>
    </row>
    <row r="548" spans="1:7" ht="14.1" customHeight="1">
      <c r="A548" s="480">
        <v>4</v>
      </c>
      <c r="B548" s="220" t="s">
        <v>324</v>
      </c>
      <c r="C548" s="324" t="s">
        <v>325</v>
      </c>
      <c r="D548" s="224">
        <v>0.12</v>
      </c>
      <c r="E548" s="18">
        <f>Equipos!S$21</f>
        <v>236.27157024793388</v>
      </c>
      <c r="F548" s="375">
        <f t="shared" si="26"/>
        <v>28.35</v>
      </c>
      <c r="G548" s="1"/>
    </row>
    <row r="549" spans="1:7" ht="14.1" customHeight="1">
      <c r="A549" s="480">
        <v>5</v>
      </c>
      <c r="B549" s="220" t="s">
        <v>1010</v>
      </c>
      <c r="C549" s="324" t="s">
        <v>325</v>
      </c>
      <c r="D549" s="224">
        <v>0.06</v>
      </c>
      <c r="E549" s="18">
        <f>Equipos!S$20</f>
        <v>132.98876033057851</v>
      </c>
      <c r="F549" s="375">
        <f t="shared" si="26"/>
        <v>7.98</v>
      </c>
      <c r="G549" s="1"/>
    </row>
    <row r="550" spans="1:7" ht="14.1" customHeight="1">
      <c r="A550" s="480">
        <v>6</v>
      </c>
      <c r="B550" s="220" t="s">
        <v>265</v>
      </c>
      <c r="C550" s="324" t="s">
        <v>325</v>
      </c>
      <c r="D550" s="224">
        <v>0.06</v>
      </c>
      <c r="E550" s="18">
        <f>Equipos!S$36</f>
        <v>3.5183305785123968</v>
      </c>
      <c r="F550" s="375">
        <f t="shared" si="26"/>
        <v>0.21</v>
      </c>
      <c r="G550" s="1"/>
    </row>
    <row r="551" spans="1:7" ht="14.1" customHeight="1">
      <c r="A551" s="480">
        <v>7</v>
      </c>
      <c r="B551" s="220" t="s">
        <v>326</v>
      </c>
      <c r="C551" s="324" t="s">
        <v>325</v>
      </c>
      <c r="D551" s="224">
        <v>0.06</v>
      </c>
      <c r="E551" s="18">
        <f>Equipos!S$19</f>
        <v>256.28945454545453</v>
      </c>
      <c r="F551" s="375">
        <f t="shared" si="26"/>
        <v>15.38</v>
      </c>
      <c r="G551" s="1"/>
    </row>
    <row r="552" spans="1:7" ht="14.1" customHeight="1">
      <c r="A552" s="480">
        <v>8</v>
      </c>
      <c r="B552" s="220" t="s">
        <v>327</v>
      </c>
      <c r="C552" s="324" t="s">
        <v>325</v>
      </c>
      <c r="D552" s="224">
        <v>0.02</v>
      </c>
      <c r="E552" s="18">
        <f>Equipos!S$24</f>
        <v>302.32601652892561</v>
      </c>
      <c r="F552" s="375">
        <f t="shared" si="26"/>
        <v>6.05</v>
      </c>
      <c r="G552" s="1"/>
    </row>
    <row r="553" spans="1:7" ht="14.1" customHeight="1">
      <c r="A553" s="480">
        <v>9</v>
      </c>
      <c r="B553" s="220" t="s">
        <v>260</v>
      </c>
      <c r="C553" s="324" t="s">
        <v>325</v>
      </c>
      <c r="D553" s="224">
        <v>0.1</v>
      </c>
      <c r="E553" s="18">
        <f>Equipos!S$32</f>
        <v>8.1039256198347118</v>
      </c>
      <c r="F553" s="375">
        <f t="shared" si="26"/>
        <v>0.81</v>
      </c>
      <c r="G553" s="1"/>
    </row>
    <row r="554" spans="1:7" ht="14.1" customHeight="1">
      <c r="A554" s="480">
        <v>10</v>
      </c>
      <c r="B554" s="13"/>
      <c r="C554" s="11"/>
      <c r="D554" s="14"/>
      <c r="E554" s="18"/>
      <c r="F554" s="375">
        <f t="shared" si="26"/>
        <v>0</v>
      </c>
      <c r="G554" s="1"/>
    </row>
    <row r="555" spans="1:7" ht="14.1" customHeight="1">
      <c r="A555" s="480">
        <v>11</v>
      </c>
      <c r="B555" s="13"/>
      <c r="C555" s="11"/>
      <c r="D555" s="11"/>
      <c r="E555" s="18"/>
      <c r="F555" s="375">
        <f t="shared" si="26"/>
        <v>0</v>
      </c>
      <c r="G555" s="1"/>
    </row>
    <row r="556" spans="1:7" ht="14.1" customHeight="1" thickBot="1">
      <c r="A556" s="480">
        <v>12</v>
      </c>
      <c r="B556" s="13"/>
      <c r="C556" s="11"/>
      <c r="D556" s="11"/>
      <c r="E556" s="18"/>
      <c r="F556" s="375">
        <f t="shared" si="26"/>
        <v>0</v>
      </c>
      <c r="G556" s="1"/>
    </row>
    <row r="557" spans="1:7" ht="14.1" customHeight="1" thickBot="1">
      <c r="A557" s="481"/>
      <c r="B557" s="5"/>
      <c r="C557" s="367"/>
      <c r="D557" s="367"/>
      <c r="E557" s="367" t="s">
        <v>151</v>
      </c>
      <c r="F557" s="376">
        <f>SUM(F545:F556)</f>
        <v>74.22</v>
      </c>
      <c r="G557" s="1"/>
    </row>
    <row r="558" spans="1:7" ht="14.1" customHeight="1">
      <c r="A558" s="482"/>
      <c r="B558" s="325"/>
      <c r="C558" s="328"/>
      <c r="D558" s="328"/>
      <c r="E558" s="328"/>
      <c r="F558" s="328"/>
      <c r="G558" s="1"/>
    </row>
    <row r="559" spans="1:7" ht="14.1" customHeight="1">
      <c r="A559" s="625" t="s">
        <v>152</v>
      </c>
      <c r="B559" s="625"/>
      <c r="C559" s="625"/>
      <c r="D559" s="625"/>
      <c r="E559" s="625"/>
      <c r="F559" s="625"/>
      <c r="G559" s="1"/>
    </row>
    <row r="560" spans="1:7" ht="14.1" customHeight="1">
      <c r="A560" s="482"/>
      <c r="B560" s="325"/>
      <c r="C560" s="328"/>
      <c r="D560" s="328"/>
      <c r="E560" s="328"/>
      <c r="F560" s="367"/>
      <c r="G560" s="1"/>
    </row>
    <row r="561" spans="1:7" ht="14.1" customHeight="1">
      <c r="A561" s="480">
        <v>13</v>
      </c>
      <c r="B561" s="17" t="s">
        <v>153</v>
      </c>
      <c r="C561" s="11" t="s">
        <v>154</v>
      </c>
      <c r="D561" s="14">
        <f>D548+D549+D551+D552</f>
        <v>0.26</v>
      </c>
      <c r="E561" s="18">
        <f>'Mano de obra'!$J$20</f>
        <v>82.610000000000014</v>
      </c>
      <c r="F561" s="375">
        <f>ROUND(D561*E561, 2)</f>
        <v>21.48</v>
      </c>
      <c r="G561" s="1"/>
    </row>
    <row r="562" spans="1:7" ht="14.1" customHeight="1">
      <c r="A562" s="480">
        <v>14</v>
      </c>
      <c r="B562" s="17" t="s">
        <v>155</v>
      </c>
      <c r="C562" s="11" t="s">
        <v>154</v>
      </c>
      <c r="D562" s="14">
        <v>0.1</v>
      </c>
      <c r="E562" s="18">
        <f>'Mano de obra'!$J$21</f>
        <v>70.38</v>
      </c>
      <c r="F562" s="375">
        <f t="shared" ref="F562:F565" si="27">ROUND(D562*E562, 2)</f>
        <v>7.04</v>
      </c>
      <c r="G562" s="1"/>
    </row>
    <row r="563" spans="1:7" ht="14.1" customHeight="1">
      <c r="A563" s="480">
        <v>15</v>
      </c>
      <c r="B563" s="17" t="s">
        <v>156</v>
      </c>
      <c r="C563" s="11" t="s">
        <v>154</v>
      </c>
      <c r="D563" s="14"/>
      <c r="E563" s="18">
        <f>'Mano de obra'!$J$22</f>
        <v>64.78</v>
      </c>
      <c r="F563" s="375">
        <f t="shared" si="27"/>
        <v>0</v>
      </c>
      <c r="G563" s="1"/>
    </row>
    <row r="564" spans="1:7" ht="14.1" customHeight="1">
      <c r="A564" s="480">
        <v>16</v>
      </c>
      <c r="B564" s="17" t="s">
        <v>157</v>
      </c>
      <c r="C564" s="11" t="s">
        <v>154</v>
      </c>
      <c r="D564" s="14">
        <v>0.1</v>
      </c>
      <c r="E564" s="18">
        <f>'Mano de obra'!$J$23</f>
        <v>59.800000000000004</v>
      </c>
      <c r="F564" s="375">
        <f t="shared" si="27"/>
        <v>5.98</v>
      </c>
      <c r="G564" s="1"/>
    </row>
    <row r="565" spans="1:7" ht="14.1" customHeight="1" thickBot="1">
      <c r="A565" s="480">
        <v>17</v>
      </c>
      <c r="B565" s="13"/>
      <c r="C565" s="11"/>
      <c r="D565" s="11"/>
      <c r="E565" s="18"/>
      <c r="F565" s="375">
        <f t="shared" si="27"/>
        <v>0</v>
      </c>
      <c r="G565" s="1"/>
    </row>
    <row r="566" spans="1:7" ht="14.1" customHeight="1" thickBot="1">
      <c r="A566" s="483"/>
      <c r="B566" s="325"/>
      <c r="C566" s="328"/>
      <c r="D566" s="328"/>
      <c r="E566" s="367" t="s">
        <v>158</v>
      </c>
      <c r="F566" s="376">
        <f>SUM(F561:F565)</f>
        <v>34.5</v>
      </c>
      <c r="G566" s="1"/>
    </row>
    <row r="567" spans="1:7" ht="14.1" customHeight="1" thickBot="1">
      <c r="A567" s="484"/>
      <c r="B567" s="325"/>
      <c r="C567" s="328"/>
      <c r="D567" s="328"/>
      <c r="E567" s="328"/>
      <c r="F567" s="367"/>
      <c r="G567" s="1"/>
    </row>
    <row r="568" spans="1:7" ht="14.1" customHeight="1" thickBot="1">
      <c r="A568" s="480"/>
      <c r="B568" s="142" t="s">
        <v>273</v>
      </c>
      <c r="C568" s="369"/>
      <c r="D568" s="369"/>
      <c r="E568" s="377" t="s">
        <v>159</v>
      </c>
      <c r="F568" s="376">
        <f>SUM(F557+F566)</f>
        <v>108.72</v>
      </c>
      <c r="G568" s="1"/>
    </row>
    <row r="569" spans="1:7" ht="15" customHeight="1">
      <c r="A569" s="626"/>
      <c r="B569" s="627" t="s">
        <v>274</v>
      </c>
      <c r="C569" s="628"/>
      <c r="D569" s="628"/>
      <c r="E569" s="629" t="s">
        <v>275</v>
      </c>
      <c r="F569" s="631">
        <f>ROUND(F568*'Coef. resumen'!$F$23, 2)</f>
        <v>161.12</v>
      </c>
    </row>
    <row r="570" spans="1:7" ht="15" customHeight="1" thickBot="1">
      <c r="A570" s="626"/>
      <c r="B570" s="627"/>
      <c r="C570" s="628"/>
      <c r="D570" s="628"/>
      <c r="E570" s="630"/>
      <c r="F570" s="632"/>
    </row>
    <row r="571" spans="1:7" ht="15">
      <c r="A571" s="471"/>
      <c r="B571" s="2"/>
      <c r="C571" s="329"/>
      <c r="D571" s="329"/>
      <c r="E571" s="329"/>
      <c r="F571" s="329"/>
    </row>
    <row r="572" spans="1:7" ht="15">
      <c r="A572" s="471"/>
      <c r="B572" s="2"/>
      <c r="C572" s="329"/>
      <c r="D572" s="329"/>
      <c r="E572" s="329"/>
      <c r="F572" s="329"/>
    </row>
    <row r="573" spans="1:7" ht="15">
      <c r="A573" s="471"/>
      <c r="B573" s="194" t="str">
        <f>'Coef. resumen'!$B$30</f>
        <v>Julián Antonelli</v>
      </c>
      <c r="C573" s="524"/>
      <c r="D573" s="524"/>
      <c r="E573" s="194" t="str">
        <f>'Coef. resumen'!$E$30</f>
        <v>Marcelo A. Pasquini</v>
      </c>
      <c r="F573" s="329"/>
    </row>
    <row r="574" spans="1:7" ht="15">
      <c r="A574" s="471"/>
      <c r="B574" s="194" t="str">
        <f>'Coef. resumen'!$B$31</f>
        <v>Ing. Civil M.P. 2161</v>
      </c>
      <c r="C574" s="524"/>
      <c r="D574" s="524"/>
      <c r="E574" s="194" t="str">
        <f>'Coef. resumen'!$E$31</f>
        <v>Socio Gerente</v>
      </c>
      <c r="F574" s="329"/>
    </row>
    <row r="575" spans="1:7" ht="15">
      <c r="A575" s="471"/>
      <c r="B575" s="194" t="str">
        <f>'Coef. resumen'!$B$32</f>
        <v>Representante Técnico</v>
      </c>
      <c r="C575" s="524"/>
      <c r="D575" s="19"/>
      <c r="E575" s="194" t="str">
        <f>'Coef. resumen'!$E$32</f>
        <v>Pasquini Construcciones SRL</v>
      </c>
      <c r="F575" s="329"/>
    </row>
    <row r="576" spans="1:7" ht="15">
      <c r="A576" s="471"/>
      <c r="B576" s="194"/>
      <c r="C576" s="329"/>
      <c r="D576" s="19"/>
      <c r="E576" s="194"/>
      <c r="F576" s="329"/>
    </row>
    <row r="577" spans="1:7" ht="14.1" customHeight="1">
      <c r="A577" s="477" t="s">
        <v>142</v>
      </c>
      <c r="B577" s="613" t="str">
        <f>Presupuesto!B38</f>
        <v>Provisión y colocación de Cañería desde Captación a Cisternas (NEXO) diámetro 160mm K 12</v>
      </c>
      <c r="C577" s="614"/>
      <c r="D577" s="615"/>
      <c r="E577" s="367" t="s">
        <v>143</v>
      </c>
      <c r="F577" s="30" t="str">
        <f>Presupuesto!C38</f>
        <v>ml</v>
      </c>
      <c r="G577" s="1"/>
    </row>
    <row r="578" spans="1:7" ht="14.1" customHeight="1">
      <c r="A578" s="622" t="str">
        <f>Presupuesto!A38</f>
        <v>1.5.2</v>
      </c>
      <c r="B578" s="616"/>
      <c r="C578" s="617"/>
      <c r="D578" s="618"/>
      <c r="E578" s="367"/>
      <c r="F578" s="367"/>
      <c r="G578" s="1"/>
    </row>
    <row r="579" spans="1:7" ht="14.1" customHeight="1">
      <c r="A579" s="622"/>
      <c r="B579" s="616"/>
      <c r="C579" s="617"/>
      <c r="D579" s="618"/>
      <c r="E579" s="367"/>
      <c r="F579" s="367"/>
      <c r="G579" s="1"/>
    </row>
    <row r="580" spans="1:7" ht="14.1" customHeight="1">
      <c r="A580" s="623"/>
      <c r="B580" s="619"/>
      <c r="C580" s="620"/>
      <c r="D580" s="621"/>
      <c r="E580" s="367"/>
      <c r="F580" s="367"/>
      <c r="G580" s="1"/>
    </row>
    <row r="581" spans="1:7" ht="14.1" customHeight="1">
      <c r="A581" s="478"/>
      <c r="B581" s="29"/>
      <c r="C581" s="368"/>
      <c r="D581" s="368"/>
      <c r="E581" s="365"/>
      <c r="F581" s="365"/>
      <c r="G581" s="1"/>
    </row>
    <row r="582" spans="1:7" ht="14.1" customHeight="1">
      <c r="A582" s="624" t="s">
        <v>144</v>
      </c>
      <c r="B582" s="624"/>
      <c r="C582" s="624"/>
      <c r="D582" s="624"/>
      <c r="E582" s="624"/>
      <c r="F582" s="624"/>
      <c r="G582" s="1"/>
    </row>
    <row r="583" spans="1:7" ht="14.1" customHeight="1">
      <c r="A583" s="479"/>
      <c r="B583" s="10"/>
      <c r="C583" s="327"/>
      <c r="D583" s="327"/>
      <c r="E583" s="327"/>
      <c r="F583" s="327"/>
      <c r="G583" s="1"/>
    </row>
    <row r="584" spans="1:7" ht="15.95" customHeight="1">
      <c r="A584" s="480" t="s">
        <v>145</v>
      </c>
      <c r="B584" s="11" t="s">
        <v>146</v>
      </c>
      <c r="C584" s="11" t="s">
        <v>147</v>
      </c>
      <c r="D584" s="11" t="s">
        <v>148</v>
      </c>
      <c r="E584" s="12" t="s">
        <v>149</v>
      </c>
      <c r="F584" s="11" t="s">
        <v>150</v>
      </c>
      <c r="G584" s="1"/>
    </row>
    <row r="585" spans="1:7" ht="14.1" customHeight="1">
      <c r="A585" s="480">
        <v>1</v>
      </c>
      <c r="B585" s="220" t="s">
        <v>1047</v>
      </c>
      <c r="C585" s="221" t="s">
        <v>12</v>
      </c>
      <c r="D585" s="221">
        <v>1.05</v>
      </c>
      <c r="E585" s="18">
        <f>'MAT 31-10-2013'!R223/6</f>
        <v>179.6851086623814</v>
      </c>
      <c r="F585" s="375">
        <f>ROUND(D585*E585, 2)</f>
        <v>188.67</v>
      </c>
      <c r="G585" s="1"/>
    </row>
    <row r="586" spans="1:7" ht="14.1" customHeight="1">
      <c r="A586" s="480">
        <v>2</v>
      </c>
      <c r="B586" s="220" t="s">
        <v>1048</v>
      </c>
      <c r="C586" s="221" t="s">
        <v>11</v>
      </c>
      <c r="D586" s="221">
        <v>1</v>
      </c>
      <c r="E586" s="18">
        <f>0.2*F585</f>
        <v>37.734000000000002</v>
      </c>
      <c r="F586" s="375">
        <f t="shared" ref="F586:F596" si="28">ROUND(D586*E586, 2)</f>
        <v>37.729999999999997</v>
      </c>
      <c r="G586" s="1"/>
    </row>
    <row r="587" spans="1:7" ht="14.1" customHeight="1">
      <c r="A587" s="480">
        <v>3</v>
      </c>
      <c r="B587" s="220" t="s">
        <v>991</v>
      </c>
      <c r="C587" s="370" t="s">
        <v>11</v>
      </c>
      <c r="D587" s="221">
        <v>1</v>
      </c>
      <c r="E587" s="18">
        <v>3</v>
      </c>
      <c r="F587" s="375">
        <f t="shared" si="28"/>
        <v>3</v>
      </c>
      <c r="G587" s="1"/>
    </row>
    <row r="588" spans="1:7" ht="14.1" customHeight="1">
      <c r="A588" s="480">
        <v>4</v>
      </c>
      <c r="B588" s="220" t="s">
        <v>1010</v>
      </c>
      <c r="C588" s="370" t="s">
        <v>325</v>
      </c>
      <c r="D588" s="221">
        <v>0.08</v>
      </c>
      <c r="E588" s="18">
        <f>Equipos!S$20</f>
        <v>132.98876033057851</v>
      </c>
      <c r="F588" s="375">
        <f t="shared" si="28"/>
        <v>10.64</v>
      </c>
      <c r="G588" s="1"/>
    </row>
    <row r="589" spans="1:7" ht="14.1" customHeight="1">
      <c r="A589" s="480">
        <v>5</v>
      </c>
      <c r="B589" s="301" t="s">
        <v>265</v>
      </c>
      <c r="C589" s="370" t="s">
        <v>325</v>
      </c>
      <c r="D589" s="221">
        <v>0.02</v>
      </c>
      <c r="E589" s="18">
        <f>Equipos!S$36</f>
        <v>3.5183305785123968</v>
      </c>
      <c r="F589" s="375">
        <f t="shared" si="28"/>
        <v>7.0000000000000007E-2</v>
      </c>
      <c r="G589" s="1"/>
    </row>
    <row r="590" spans="1:7" ht="14.1" customHeight="1">
      <c r="A590" s="480">
        <v>6</v>
      </c>
      <c r="B590" s="220"/>
      <c r="C590" s="324"/>
      <c r="D590" s="224"/>
      <c r="E590" s="18"/>
      <c r="F590" s="375">
        <f t="shared" si="28"/>
        <v>0</v>
      </c>
      <c r="G590" s="1"/>
    </row>
    <row r="591" spans="1:7" ht="14.1" customHeight="1">
      <c r="A591" s="480">
        <v>7</v>
      </c>
      <c r="B591" s="220"/>
      <c r="C591" s="324"/>
      <c r="D591" s="224"/>
      <c r="E591" s="18"/>
      <c r="F591" s="375">
        <f t="shared" si="28"/>
        <v>0</v>
      </c>
      <c r="G591" s="1"/>
    </row>
    <row r="592" spans="1:7" ht="14.1" customHeight="1">
      <c r="A592" s="480">
        <v>8</v>
      </c>
      <c r="B592" s="220"/>
      <c r="C592" s="324"/>
      <c r="D592" s="224"/>
      <c r="E592" s="18"/>
      <c r="F592" s="375">
        <f t="shared" si="28"/>
        <v>0</v>
      </c>
      <c r="G592" s="1"/>
    </row>
    <row r="593" spans="1:7" ht="14.1" customHeight="1">
      <c r="A593" s="480">
        <v>9</v>
      </c>
      <c r="B593" s="220"/>
      <c r="C593" s="324"/>
      <c r="D593" s="224"/>
      <c r="E593" s="18"/>
      <c r="F593" s="375">
        <f t="shared" si="28"/>
        <v>0</v>
      </c>
      <c r="G593" s="1"/>
    </row>
    <row r="594" spans="1:7" ht="14.1" customHeight="1">
      <c r="A594" s="480">
        <v>10</v>
      </c>
      <c r="B594" s="13"/>
      <c r="C594" s="11"/>
      <c r="D594" s="14"/>
      <c r="E594" s="18"/>
      <c r="F594" s="375">
        <f t="shared" si="28"/>
        <v>0</v>
      </c>
      <c r="G594" s="1"/>
    </row>
    <row r="595" spans="1:7" ht="14.1" customHeight="1">
      <c r="A595" s="480">
        <v>11</v>
      </c>
      <c r="B595" s="13"/>
      <c r="C595" s="11"/>
      <c r="D595" s="11"/>
      <c r="E595" s="18"/>
      <c r="F595" s="375">
        <f t="shared" si="28"/>
        <v>0</v>
      </c>
      <c r="G595" s="1"/>
    </row>
    <row r="596" spans="1:7" ht="14.1" customHeight="1" thickBot="1">
      <c r="A596" s="480">
        <v>12</v>
      </c>
      <c r="B596" s="13"/>
      <c r="C596" s="11"/>
      <c r="D596" s="11"/>
      <c r="E596" s="18"/>
      <c r="F596" s="375">
        <f t="shared" si="28"/>
        <v>0</v>
      </c>
      <c r="G596" s="1"/>
    </row>
    <row r="597" spans="1:7" ht="14.1" customHeight="1" thickBot="1">
      <c r="A597" s="481"/>
      <c r="B597" s="5"/>
      <c r="C597" s="367"/>
      <c r="D597" s="367"/>
      <c r="E597" s="367" t="s">
        <v>151</v>
      </c>
      <c r="F597" s="376">
        <f>SUM(F585:F596)</f>
        <v>240.10999999999996</v>
      </c>
      <c r="G597" s="1"/>
    </row>
    <row r="598" spans="1:7" ht="14.1" customHeight="1">
      <c r="A598" s="482"/>
      <c r="B598" s="325"/>
      <c r="C598" s="328"/>
      <c r="D598" s="328"/>
      <c r="E598" s="328"/>
      <c r="F598" s="328"/>
      <c r="G598" s="1"/>
    </row>
    <row r="599" spans="1:7" ht="14.1" customHeight="1">
      <c r="A599" s="625" t="s">
        <v>152</v>
      </c>
      <c r="B599" s="625"/>
      <c r="C599" s="625"/>
      <c r="D599" s="625"/>
      <c r="E599" s="625"/>
      <c r="F599" s="625"/>
      <c r="G599" s="1"/>
    </row>
    <row r="600" spans="1:7" ht="14.1" customHeight="1">
      <c r="A600" s="482"/>
      <c r="B600" s="325"/>
      <c r="C600" s="328"/>
      <c r="D600" s="328"/>
      <c r="E600" s="328"/>
      <c r="F600" s="367"/>
      <c r="G600" s="1"/>
    </row>
    <row r="601" spans="1:7" ht="14.1" customHeight="1">
      <c r="A601" s="480">
        <v>13</v>
      </c>
      <c r="B601" s="17" t="s">
        <v>153</v>
      </c>
      <c r="C601" s="11" t="s">
        <v>154</v>
      </c>
      <c r="D601" s="14">
        <f>D588</f>
        <v>0.08</v>
      </c>
      <c r="E601" s="18">
        <f>'Mano de obra'!$J$20</f>
        <v>82.610000000000014</v>
      </c>
      <c r="F601" s="375">
        <f>ROUND(D601*E601, 2)</f>
        <v>6.61</v>
      </c>
      <c r="G601" s="1"/>
    </row>
    <row r="602" spans="1:7" ht="14.1" customHeight="1">
      <c r="A602" s="480">
        <v>14</v>
      </c>
      <c r="B602" s="17" t="s">
        <v>155</v>
      </c>
      <c r="C602" s="11" t="s">
        <v>154</v>
      </c>
      <c r="D602" s="14">
        <f>8/80</f>
        <v>0.1</v>
      </c>
      <c r="E602" s="18">
        <f>'Mano de obra'!$J$21</f>
        <v>70.38</v>
      </c>
      <c r="F602" s="375">
        <f t="shared" ref="F602:F605" si="29">ROUND(D602*E602, 2)</f>
        <v>7.04</v>
      </c>
      <c r="G602" s="1"/>
    </row>
    <row r="603" spans="1:7" ht="14.1" customHeight="1">
      <c r="A603" s="480">
        <v>15</v>
      </c>
      <c r="B603" s="17" t="s">
        <v>156</v>
      </c>
      <c r="C603" s="11" t="s">
        <v>154</v>
      </c>
      <c r="D603" s="14">
        <f>8/80</f>
        <v>0.1</v>
      </c>
      <c r="E603" s="18">
        <f>'Mano de obra'!$J$22</f>
        <v>64.78</v>
      </c>
      <c r="F603" s="375">
        <f t="shared" si="29"/>
        <v>6.48</v>
      </c>
      <c r="G603" s="1"/>
    </row>
    <row r="604" spans="1:7" ht="14.1" customHeight="1">
      <c r="A604" s="480">
        <v>16</v>
      </c>
      <c r="B604" s="17" t="s">
        <v>157</v>
      </c>
      <c r="C604" s="11" t="s">
        <v>154</v>
      </c>
      <c r="D604" s="14">
        <f>32/80</f>
        <v>0.4</v>
      </c>
      <c r="E604" s="18">
        <f>'Mano de obra'!$J$23</f>
        <v>59.800000000000004</v>
      </c>
      <c r="F604" s="375">
        <f t="shared" si="29"/>
        <v>23.92</v>
      </c>
      <c r="G604" s="1"/>
    </row>
    <row r="605" spans="1:7" ht="14.1" customHeight="1" thickBot="1">
      <c r="A605" s="480">
        <v>17</v>
      </c>
      <c r="B605" s="13"/>
      <c r="C605" s="11"/>
      <c r="D605" s="11"/>
      <c r="E605" s="18"/>
      <c r="F605" s="375">
        <f t="shared" si="29"/>
        <v>0</v>
      </c>
      <c r="G605" s="1"/>
    </row>
    <row r="606" spans="1:7" ht="14.1" customHeight="1" thickBot="1">
      <c r="A606" s="483"/>
      <c r="B606" s="325"/>
      <c r="C606" s="328"/>
      <c r="D606" s="328"/>
      <c r="E606" s="367" t="s">
        <v>158</v>
      </c>
      <c r="F606" s="376">
        <f>SUM(F601:F605)</f>
        <v>44.050000000000004</v>
      </c>
      <c r="G606" s="1"/>
    </row>
    <row r="607" spans="1:7" ht="14.1" customHeight="1" thickBot="1">
      <c r="A607" s="484"/>
      <c r="B607" s="325"/>
      <c r="C607" s="328"/>
      <c r="D607" s="328"/>
      <c r="E607" s="328"/>
      <c r="F607" s="367"/>
      <c r="G607" s="1"/>
    </row>
    <row r="608" spans="1:7" ht="14.1" customHeight="1" thickBot="1">
      <c r="A608" s="480"/>
      <c r="B608" s="142" t="s">
        <v>273</v>
      </c>
      <c r="C608" s="369"/>
      <c r="D608" s="369"/>
      <c r="E608" s="377" t="s">
        <v>159</v>
      </c>
      <c r="F608" s="376">
        <f>SUM(F597+F606)</f>
        <v>284.15999999999997</v>
      </c>
      <c r="G608" s="1"/>
    </row>
    <row r="609" spans="1:7" ht="15" customHeight="1">
      <c r="A609" s="626"/>
      <c r="B609" s="627" t="s">
        <v>274</v>
      </c>
      <c r="C609" s="628"/>
      <c r="D609" s="628"/>
      <c r="E609" s="629" t="s">
        <v>275</v>
      </c>
      <c r="F609" s="631">
        <f>ROUND(F608*'Coef. resumen'!$F$23, 2)</f>
        <v>421.13</v>
      </c>
    </row>
    <row r="610" spans="1:7" ht="15" customHeight="1" thickBot="1">
      <c r="A610" s="626"/>
      <c r="B610" s="627"/>
      <c r="C610" s="628"/>
      <c r="D610" s="628"/>
      <c r="E610" s="630"/>
      <c r="F610" s="632"/>
    </row>
    <row r="611" spans="1:7" ht="15">
      <c r="A611" s="471"/>
      <c r="B611" s="2"/>
      <c r="C611" s="329"/>
      <c r="D611" s="329"/>
      <c r="E611" s="329"/>
      <c r="F611" s="329"/>
    </row>
    <row r="612" spans="1:7" ht="15">
      <c r="A612" s="471"/>
      <c r="B612" s="2"/>
      <c r="C612" s="329"/>
      <c r="D612" s="329"/>
      <c r="E612" s="329"/>
      <c r="F612" s="329"/>
    </row>
    <row r="613" spans="1:7" ht="15">
      <c r="A613" s="471"/>
      <c r="B613" s="194" t="str">
        <f>'Coef. resumen'!$B$30</f>
        <v>Julián Antonelli</v>
      </c>
      <c r="C613" s="524"/>
      <c r="D613" s="524"/>
      <c r="E613" s="194" t="str">
        <f>'Coef. resumen'!$E$30</f>
        <v>Marcelo A. Pasquini</v>
      </c>
      <c r="F613" s="329"/>
    </row>
    <row r="614" spans="1:7" ht="15">
      <c r="A614" s="471"/>
      <c r="B614" s="194" t="str">
        <f>'Coef. resumen'!$B$31</f>
        <v>Ing. Civil M.P. 2161</v>
      </c>
      <c r="C614" s="524"/>
      <c r="D614" s="524"/>
      <c r="E614" s="194" t="str">
        <f>'Coef. resumen'!$E$31</f>
        <v>Socio Gerente</v>
      </c>
      <c r="F614" s="329"/>
    </row>
    <row r="615" spans="1:7" ht="15">
      <c r="A615" s="471"/>
      <c r="B615" s="194" t="str">
        <f>'Coef. resumen'!$B$32</f>
        <v>Representante Técnico</v>
      </c>
      <c r="C615" s="524"/>
      <c r="D615" s="19"/>
      <c r="E615" s="194" t="str">
        <f>'Coef. resumen'!$E$32</f>
        <v>Pasquini Construcciones SRL</v>
      </c>
      <c r="F615" s="329"/>
    </row>
    <row r="616" spans="1:7" ht="15">
      <c r="A616" s="471"/>
      <c r="B616" s="194"/>
      <c r="C616" s="329"/>
      <c r="D616" s="19"/>
      <c r="E616" s="194"/>
      <c r="F616" s="329"/>
    </row>
    <row r="617" spans="1:7" ht="14.1" customHeight="1">
      <c r="A617" s="477" t="s">
        <v>142</v>
      </c>
      <c r="B617" s="613" t="str">
        <f>Presupuesto!B39</f>
        <v>Provisión y colocación de Cañería desde Captación a Cisternas (NEXO) diámetro 180mm K 10</v>
      </c>
      <c r="C617" s="614"/>
      <c r="D617" s="615"/>
      <c r="E617" s="367" t="s">
        <v>143</v>
      </c>
      <c r="F617" s="30" t="str">
        <f>Presupuesto!C39</f>
        <v>ml</v>
      </c>
      <c r="G617" s="1"/>
    </row>
    <row r="618" spans="1:7" ht="14.1" customHeight="1">
      <c r="A618" s="622" t="str">
        <f>Presupuesto!A39</f>
        <v>1.5.3</v>
      </c>
      <c r="B618" s="616"/>
      <c r="C618" s="617"/>
      <c r="D618" s="618"/>
      <c r="E618" s="367"/>
      <c r="F618" s="367"/>
      <c r="G618" s="1"/>
    </row>
    <row r="619" spans="1:7" ht="14.1" customHeight="1">
      <c r="A619" s="622"/>
      <c r="B619" s="616"/>
      <c r="C619" s="617"/>
      <c r="D619" s="618"/>
      <c r="E619" s="367"/>
      <c r="F619" s="367"/>
      <c r="G619" s="1"/>
    </row>
    <row r="620" spans="1:7" ht="14.1" customHeight="1">
      <c r="A620" s="623"/>
      <c r="B620" s="619"/>
      <c r="C620" s="620"/>
      <c r="D620" s="621"/>
      <c r="E620" s="367"/>
      <c r="F620" s="367"/>
      <c r="G620" s="1"/>
    </row>
    <row r="621" spans="1:7" ht="14.1" customHeight="1">
      <c r="A621" s="478"/>
      <c r="B621" s="29"/>
      <c r="C621" s="368"/>
      <c r="D621" s="368"/>
      <c r="E621" s="365"/>
      <c r="F621" s="365"/>
      <c r="G621" s="1"/>
    </row>
    <row r="622" spans="1:7" ht="14.1" customHeight="1">
      <c r="A622" s="624" t="s">
        <v>144</v>
      </c>
      <c r="B622" s="624"/>
      <c r="C622" s="624"/>
      <c r="D622" s="624"/>
      <c r="E622" s="624"/>
      <c r="F622" s="624"/>
      <c r="G622" s="1"/>
    </row>
    <row r="623" spans="1:7" ht="14.1" customHeight="1">
      <c r="A623" s="479"/>
      <c r="B623" s="10"/>
      <c r="C623" s="327"/>
      <c r="D623" s="327"/>
      <c r="E623" s="327"/>
      <c r="F623" s="327"/>
      <c r="G623" s="1"/>
    </row>
    <row r="624" spans="1:7" ht="15.95" customHeight="1">
      <c r="A624" s="480" t="s">
        <v>145</v>
      </c>
      <c r="B624" s="11" t="s">
        <v>146</v>
      </c>
      <c r="C624" s="11" t="s">
        <v>147</v>
      </c>
      <c r="D624" s="11" t="s">
        <v>148</v>
      </c>
      <c r="E624" s="12" t="s">
        <v>149</v>
      </c>
      <c r="F624" s="11" t="s">
        <v>150</v>
      </c>
      <c r="G624" s="1"/>
    </row>
    <row r="625" spans="1:7" ht="14.1" customHeight="1">
      <c r="A625" s="480">
        <v>1</v>
      </c>
      <c r="B625" s="220" t="s">
        <v>1049</v>
      </c>
      <c r="C625" s="221" t="s">
        <v>12</v>
      </c>
      <c r="D625" s="221">
        <v>1.05</v>
      </c>
      <c r="E625" s="18">
        <f>'MAT 31-10-2013'!R224/6</f>
        <v>248.79476584022044</v>
      </c>
      <c r="F625" s="375">
        <f>ROUND(D625*E625, 2)</f>
        <v>261.23</v>
      </c>
      <c r="G625" s="1"/>
    </row>
    <row r="626" spans="1:7" ht="14.1" customHeight="1">
      <c r="A626" s="480">
        <v>2</v>
      </c>
      <c r="B626" s="220" t="s">
        <v>1050</v>
      </c>
      <c r="C626" s="221" t="s">
        <v>11</v>
      </c>
      <c r="D626" s="221">
        <v>1</v>
      </c>
      <c r="E626" s="18">
        <f>0.2*F625</f>
        <v>52.246000000000009</v>
      </c>
      <c r="F626" s="375">
        <f t="shared" ref="F626:F636" si="30">ROUND(D626*E626, 2)</f>
        <v>52.25</v>
      </c>
      <c r="G626" s="1"/>
    </row>
    <row r="627" spans="1:7" ht="14.1" customHeight="1">
      <c r="A627" s="480">
        <v>3</v>
      </c>
      <c r="B627" s="220" t="s">
        <v>991</v>
      </c>
      <c r="C627" s="370" t="s">
        <v>11</v>
      </c>
      <c r="D627" s="221">
        <v>1</v>
      </c>
      <c r="E627" s="18">
        <v>3</v>
      </c>
      <c r="F627" s="375">
        <f t="shared" si="30"/>
        <v>3</v>
      </c>
      <c r="G627" s="1"/>
    </row>
    <row r="628" spans="1:7" ht="14.1" customHeight="1">
      <c r="A628" s="480">
        <v>4</v>
      </c>
      <c r="B628" s="220" t="s">
        <v>1010</v>
      </c>
      <c r="C628" s="370" t="s">
        <v>325</v>
      </c>
      <c r="D628" s="221">
        <v>0.08</v>
      </c>
      <c r="E628" s="18">
        <f>Equipos!S$20</f>
        <v>132.98876033057851</v>
      </c>
      <c r="F628" s="375">
        <f t="shared" si="30"/>
        <v>10.64</v>
      </c>
      <c r="G628" s="1"/>
    </row>
    <row r="629" spans="1:7" ht="14.1" customHeight="1">
      <c r="A629" s="480">
        <v>5</v>
      </c>
      <c r="B629" s="301" t="s">
        <v>265</v>
      </c>
      <c r="C629" s="370" t="s">
        <v>325</v>
      </c>
      <c r="D629" s="221">
        <v>0.02</v>
      </c>
      <c r="E629" s="18">
        <f>Equipos!S$36</f>
        <v>3.5183305785123968</v>
      </c>
      <c r="F629" s="375">
        <f t="shared" si="30"/>
        <v>7.0000000000000007E-2</v>
      </c>
      <c r="G629" s="1"/>
    </row>
    <row r="630" spans="1:7" ht="14.1" customHeight="1">
      <c r="A630" s="480">
        <v>6</v>
      </c>
      <c r="B630" s="220"/>
      <c r="C630" s="324"/>
      <c r="D630" s="224"/>
      <c r="E630" s="18"/>
      <c r="F630" s="375">
        <f t="shared" si="30"/>
        <v>0</v>
      </c>
      <c r="G630" s="1"/>
    </row>
    <row r="631" spans="1:7" ht="14.1" customHeight="1">
      <c r="A631" s="480">
        <v>7</v>
      </c>
      <c r="B631" s="220"/>
      <c r="C631" s="324"/>
      <c r="D631" s="224"/>
      <c r="E631" s="18"/>
      <c r="F631" s="375">
        <f t="shared" si="30"/>
        <v>0</v>
      </c>
      <c r="G631" s="1"/>
    </row>
    <row r="632" spans="1:7" ht="14.1" customHeight="1">
      <c r="A632" s="480">
        <v>8</v>
      </c>
      <c r="B632" s="220"/>
      <c r="C632" s="324"/>
      <c r="D632" s="224"/>
      <c r="E632" s="18"/>
      <c r="F632" s="375">
        <f t="shared" si="30"/>
        <v>0</v>
      </c>
      <c r="G632" s="1"/>
    </row>
    <row r="633" spans="1:7" ht="14.1" customHeight="1">
      <c r="A633" s="480">
        <v>9</v>
      </c>
      <c r="B633" s="220"/>
      <c r="C633" s="324"/>
      <c r="D633" s="224"/>
      <c r="E633" s="18"/>
      <c r="F633" s="375">
        <f t="shared" si="30"/>
        <v>0</v>
      </c>
      <c r="G633" s="1"/>
    </row>
    <row r="634" spans="1:7" ht="14.1" customHeight="1">
      <c r="A634" s="480">
        <v>10</v>
      </c>
      <c r="B634" s="13"/>
      <c r="C634" s="11"/>
      <c r="D634" s="14"/>
      <c r="E634" s="18"/>
      <c r="F634" s="375">
        <f t="shared" si="30"/>
        <v>0</v>
      </c>
      <c r="G634" s="1"/>
    </row>
    <row r="635" spans="1:7" ht="14.1" customHeight="1">
      <c r="A635" s="480">
        <v>11</v>
      </c>
      <c r="B635" s="13"/>
      <c r="C635" s="11"/>
      <c r="D635" s="11"/>
      <c r="E635" s="18"/>
      <c r="F635" s="375">
        <f t="shared" si="30"/>
        <v>0</v>
      </c>
      <c r="G635" s="1"/>
    </row>
    <row r="636" spans="1:7" ht="14.1" customHeight="1" thickBot="1">
      <c r="A636" s="480">
        <v>12</v>
      </c>
      <c r="B636" s="13"/>
      <c r="C636" s="11"/>
      <c r="D636" s="11"/>
      <c r="E636" s="18"/>
      <c r="F636" s="375">
        <f t="shared" si="30"/>
        <v>0</v>
      </c>
      <c r="G636" s="1"/>
    </row>
    <row r="637" spans="1:7" ht="14.1" customHeight="1" thickBot="1">
      <c r="A637" s="481"/>
      <c r="B637" s="5"/>
      <c r="C637" s="367"/>
      <c r="D637" s="367"/>
      <c r="E637" s="367" t="s">
        <v>151</v>
      </c>
      <c r="F637" s="376">
        <f>SUM(F625:F636)</f>
        <v>327.19</v>
      </c>
      <c r="G637" s="1"/>
    </row>
    <row r="638" spans="1:7" ht="14.1" customHeight="1">
      <c r="A638" s="482"/>
      <c r="B638" s="325"/>
      <c r="C638" s="328"/>
      <c r="D638" s="328"/>
      <c r="E638" s="328"/>
      <c r="F638" s="328"/>
      <c r="G638" s="1"/>
    </row>
    <row r="639" spans="1:7" ht="14.1" customHeight="1">
      <c r="A639" s="625" t="s">
        <v>152</v>
      </c>
      <c r="B639" s="625"/>
      <c r="C639" s="625"/>
      <c r="D639" s="625"/>
      <c r="E639" s="625"/>
      <c r="F639" s="625"/>
      <c r="G639" s="1"/>
    </row>
    <row r="640" spans="1:7" ht="14.1" customHeight="1">
      <c r="A640" s="482"/>
      <c r="B640" s="325"/>
      <c r="C640" s="328"/>
      <c r="D640" s="328"/>
      <c r="E640" s="328"/>
      <c r="F640" s="367"/>
      <c r="G640" s="1"/>
    </row>
    <row r="641" spans="1:7" ht="14.1" customHeight="1">
      <c r="A641" s="480">
        <v>13</v>
      </c>
      <c r="B641" s="17" t="s">
        <v>153</v>
      </c>
      <c r="C641" s="11" t="s">
        <v>154</v>
      </c>
      <c r="D641" s="14">
        <f>D628</f>
        <v>0.08</v>
      </c>
      <c r="E641" s="18">
        <f>'Mano de obra'!$J$20</f>
        <v>82.610000000000014</v>
      </c>
      <c r="F641" s="375">
        <f>ROUND(D641*E641, 2)</f>
        <v>6.61</v>
      </c>
      <c r="G641" s="1"/>
    </row>
    <row r="642" spans="1:7" ht="14.1" customHeight="1">
      <c r="A642" s="480">
        <v>14</v>
      </c>
      <c r="B642" s="17" t="s">
        <v>155</v>
      </c>
      <c r="C642" s="11" t="s">
        <v>154</v>
      </c>
      <c r="D642" s="14">
        <f>8/80</f>
        <v>0.1</v>
      </c>
      <c r="E642" s="18">
        <f>'Mano de obra'!$J$21</f>
        <v>70.38</v>
      </c>
      <c r="F642" s="375">
        <f t="shared" ref="F642:F645" si="31">ROUND(D642*E642, 2)</f>
        <v>7.04</v>
      </c>
      <c r="G642" s="1"/>
    </row>
    <row r="643" spans="1:7" ht="14.1" customHeight="1">
      <c r="A643" s="480">
        <v>15</v>
      </c>
      <c r="B643" s="17" t="s">
        <v>156</v>
      </c>
      <c r="C643" s="11" t="s">
        <v>154</v>
      </c>
      <c r="D643" s="14">
        <f>8/80</f>
        <v>0.1</v>
      </c>
      <c r="E643" s="18">
        <f>'Mano de obra'!$J$22</f>
        <v>64.78</v>
      </c>
      <c r="F643" s="375">
        <f t="shared" si="31"/>
        <v>6.48</v>
      </c>
      <c r="G643" s="1"/>
    </row>
    <row r="644" spans="1:7" ht="14.1" customHeight="1">
      <c r="A644" s="480">
        <v>16</v>
      </c>
      <c r="B644" s="17" t="s">
        <v>157</v>
      </c>
      <c r="C644" s="11" t="s">
        <v>154</v>
      </c>
      <c r="D644" s="14">
        <f>32/80</f>
        <v>0.4</v>
      </c>
      <c r="E644" s="18">
        <f>'Mano de obra'!$J$23</f>
        <v>59.800000000000004</v>
      </c>
      <c r="F644" s="375">
        <f t="shared" si="31"/>
        <v>23.92</v>
      </c>
      <c r="G644" s="1"/>
    </row>
    <row r="645" spans="1:7" ht="14.1" customHeight="1" thickBot="1">
      <c r="A645" s="480">
        <v>17</v>
      </c>
      <c r="B645" s="13"/>
      <c r="C645" s="11"/>
      <c r="D645" s="11"/>
      <c r="E645" s="18"/>
      <c r="F645" s="375">
        <f t="shared" si="31"/>
        <v>0</v>
      </c>
      <c r="G645" s="1"/>
    </row>
    <row r="646" spans="1:7" ht="14.1" customHeight="1" thickBot="1">
      <c r="A646" s="483"/>
      <c r="B646" s="325"/>
      <c r="C646" s="328"/>
      <c r="D646" s="328"/>
      <c r="E646" s="367" t="s">
        <v>158</v>
      </c>
      <c r="F646" s="376">
        <f>SUM(F641:F645)</f>
        <v>44.050000000000004</v>
      </c>
      <c r="G646" s="1"/>
    </row>
    <row r="647" spans="1:7" ht="14.1" customHeight="1" thickBot="1">
      <c r="A647" s="484"/>
      <c r="B647" s="325"/>
      <c r="C647" s="328"/>
      <c r="D647" s="328"/>
      <c r="E647" s="328"/>
      <c r="F647" s="367"/>
      <c r="G647" s="1"/>
    </row>
    <row r="648" spans="1:7" ht="14.1" customHeight="1" thickBot="1">
      <c r="A648" s="480"/>
      <c r="B648" s="142" t="s">
        <v>273</v>
      </c>
      <c r="C648" s="369"/>
      <c r="D648" s="369"/>
      <c r="E648" s="377" t="s">
        <v>159</v>
      </c>
      <c r="F648" s="376">
        <f>SUM(F637+F646)</f>
        <v>371.24</v>
      </c>
      <c r="G648" s="1"/>
    </row>
    <row r="649" spans="1:7" ht="15" customHeight="1">
      <c r="A649" s="626"/>
      <c r="B649" s="627" t="s">
        <v>274</v>
      </c>
      <c r="C649" s="628"/>
      <c r="D649" s="628"/>
      <c r="E649" s="629" t="s">
        <v>275</v>
      </c>
      <c r="F649" s="631">
        <f>ROUND(F648*'Coef. resumen'!$F$23, 2)</f>
        <v>550.17999999999995</v>
      </c>
    </row>
    <row r="650" spans="1:7" ht="15" customHeight="1" thickBot="1">
      <c r="A650" s="626"/>
      <c r="B650" s="627"/>
      <c r="C650" s="628"/>
      <c r="D650" s="628"/>
      <c r="E650" s="630"/>
      <c r="F650" s="632"/>
    </row>
    <row r="651" spans="1:7" ht="15">
      <c r="A651" s="471"/>
      <c r="B651" s="2"/>
      <c r="C651" s="329"/>
      <c r="D651" s="329"/>
      <c r="E651" s="329"/>
      <c r="F651" s="329"/>
    </row>
    <row r="652" spans="1:7" ht="15">
      <c r="A652" s="471"/>
      <c r="B652" s="2"/>
      <c r="C652" s="329"/>
      <c r="D652" s="329"/>
      <c r="E652" s="329"/>
      <c r="F652" s="329"/>
    </row>
    <row r="653" spans="1:7" ht="15">
      <c r="A653" s="471"/>
      <c r="B653" s="194" t="str">
        <f>'Coef. resumen'!$B$30</f>
        <v>Julián Antonelli</v>
      </c>
      <c r="C653" s="524"/>
      <c r="D653" s="524"/>
      <c r="E653" s="194" t="str">
        <f>'Coef. resumen'!$E$30</f>
        <v>Marcelo A. Pasquini</v>
      </c>
      <c r="F653" s="329"/>
    </row>
    <row r="654" spans="1:7" ht="15">
      <c r="A654" s="471"/>
      <c r="B654" s="194" t="str">
        <f>'Coef. resumen'!$B$31</f>
        <v>Ing. Civil M.P. 2161</v>
      </c>
      <c r="C654" s="524"/>
      <c r="D654" s="524"/>
      <c r="E654" s="194" t="str">
        <f>'Coef. resumen'!$E$31</f>
        <v>Socio Gerente</v>
      </c>
      <c r="F654" s="329"/>
    </row>
    <row r="655" spans="1:7" ht="15">
      <c r="A655" s="471"/>
      <c r="B655" s="194" t="str">
        <f>'Coef. resumen'!$B$32</f>
        <v>Representante Técnico</v>
      </c>
      <c r="C655" s="524"/>
      <c r="D655" s="19"/>
      <c r="E655" s="194" t="str">
        <f>'Coef. resumen'!$E$32</f>
        <v>Pasquini Construcciones SRL</v>
      </c>
      <c r="F655" s="329"/>
    </row>
    <row r="656" spans="1:7" ht="15">
      <c r="A656" s="471"/>
      <c r="B656" s="194"/>
      <c r="C656" s="329"/>
      <c r="D656" s="19"/>
      <c r="E656" s="194"/>
      <c r="F656" s="329"/>
    </row>
    <row r="657" spans="1:7" ht="14.1" customHeight="1">
      <c r="A657" s="477" t="s">
        <v>142</v>
      </c>
      <c r="B657" s="613" t="str">
        <f>Presupuesto!B41</f>
        <v>Caseta de Cloración</v>
      </c>
      <c r="C657" s="614"/>
      <c r="D657" s="615"/>
      <c r="E657" s="367" t="s">
        <v>143</v>
      </c>
      <c r="F657" s="30" t="str">
        <f>Presupuesto!C41</f>
        <v>Gl</v>
      </c>
      <c r="G657" s="1"/>
    </row>
    <row r="658" spans="1:7" ht="14.1" customHeight="1">
      <c r="A658" s="622" t="str">
        <f>Presupuesto!A41</f>
        <v>1.6.1</v>
      </c>
      <c r="B658" s="616"/>
      <c r="C658" s="617"/>
      <c r="D658" s="618"/>
      <c r="E658" s="367"/>
      <c r="F658" s="367"/>
      <c r="G658" s="1"/>
    </row>
    <row r="659" spans="1:7" ht="14.1" customHeight="1">
      <c r="A659" s="622"/>
      <c r="B659" s="616"/>
      <c r="C659" s="617"/>
      <c r="D659" s="618"/>
      <c r="E659" s="367"/>
      <c r="F659" s="367"/>
      <c r="G659" s="1"/>
    </row>
    <row r="660" spans="1:7" ht="14.1" customHeight="1">
      <c r="A660" s="623"/>
      <c r="B660" s="619"/>
      <c r="C660" s="620"/>
      <c r="D660" s="621"/>
      <c r="E660" s="367"/>
      <c r="F660" s="367"/>
      <c r="G660" s="1"/>
    </row>
    <row r="661" spans="1:7" ht="14.1" customHeight="1">
      <c r="A661" s="478"/>
      <c r="B661" s="29"/>
      <c r="C661" s="368"/>
      <c r="D661" s="368"/>
      <c r="E661" s="365"/>
      <c r="F661" s="365"/>
      <c r="G661" s="1"/>
    </row>
    <row r="662" spans="1:7" ht="14.1" customHeight="1">
      <c r="A662" s="624" t="s">
        <v>144</v>
      </c>
      <c r="B662" s="624"/>
      <c r="C662" s="624"/>
      <c r="D662" s="624"/>
      <c r="E662" s="624"/>
      <c r="F662" s="624"/>
      <c r="G662" s="1"/>
    </row>
    <row r="663" spans="1:7" ht="14.1" customHeight="1">
      <c r="A663" s="479"/>
      <c r="B663" s="10"/>
      <c r="C663" s="327"/>
      <c r="D663" s="327"/>
      <c r="E663" s="327"/>
      <c r="F663" s="327"/>
      <c r="G663" s="1"/>
    </row>
    <row r="664" spans="1:7" ht="15.95" customHeight="1">
      <c r="A664" s="480" t="s">
        <v>145</v>
      </c>
      <c r="B664" s="11" t="s">
        <v>146</v>
      </c>
      <c r="C664" s="11" t="s">
        <v>147</v>
      </c>
      <c r="D664" s="11" t="s">
        <v>148</v>
      </c>
      <c r="E664" s="12" t="s">
        <v>149</v>
      </c>
      <c r="F664" s="11" t="s">
        <v>150</v>
      </c>
      <c r="G664" s="1"/>
    </row>
    <row r="665" spans="1:7" ht="14.1" customHeight="1">
      <c r="A665" s="480">
        <v>1</v>
      </c>
      <c r="B665" s="331" t="s">
        <v>328</v>
      </c>
      <c r="C665" s="332" t="s">
        <v>53</v>
      </c>
      <c r="D665" s="14">
        <f>4*0.65</f>
        <v>2.6</v>
      </c>
      <c r="E665" s="18">
        <f>'MAT 31-10-2013'!R5</f>
        <v>39.059027777777771</v>
      </c>
      <c r="F665" s="375">
        <f>ROUND(D665*E665, 2)</f>
        <v>101.55</v>
      </c>
      <c r="G665" s="1"/>
    </row>
    <row r="666" spans="1:7" ht="14.1" customHeight="1">
      <c r="A666" s="480">
        <v>2</v>
      </c>
      <c r="B666" s="331" t="s">
        <v>1000</v>
      </c>
      <c r="C666" s="332" t="s">
        <v>53</v>
      </c>
      <c r="D666" s="14">
        <f t="shared" ref="D666" si="32">4*0.65</f>
        <v>2.6</v>
      </c>
      <c r="E666" s="18">
        <f>'MAT 31-10-2013'!R7</f>
        <v>39.059027777777771</v>
      </c>
      <c r="F666" s="375">
        <f t="shared" ref="F666:F676" si="33">ROUND(D666*E666, 2)</f>
        <v>101.55</v>
      </c>
      <c r="G666" s="1"/>
    </row>
    <row r="667" spans="1:7" ht="14.1" customHeight="1">
      <c r="A667" s="480">
        <v>3</v>
      </c>
      <c r="B667" s="331" t="s">
        <v>1002</v>
      </c>
      <c r="C667" s="332" t="s">
        <v>362</v>
      </c>
      <c r="D667" s="14">
        <f>4*250*3</f>
        <v>3000</v>
      </c>
      <c r="E667" s="18">
        <f>'MAT 31-10-2013'!R14</f>
        <v>1.013611111111111</v>
      </c>
      <c r="F667" s="375">
        <f t="shared" si="33"/>
        <v>3040.83</v>
      </c>
      <c r="G667" s="1"/>
    </row>
    <row r="668" spans="1:7" ht="14.1" customHeight="1">
      <c r="A668" s="480">
        <v>4</v>
      </c>
      <c r="B668" s="331" t="s">
        <v>1003</v>
      </c>
      <c r="C668" s="332" t="s">
        <v>362</v>
      </c>
      <c r="D668" s="14">
        <f>4*100</f>
        <v>400</v>
      </c>
      <c r="E668" s="18">
        <f>'MAT 31-10-2013'!R32</f>
        <v>11.376875</v>
      </c>
      <c r="F668" s="375">
        <f t="shared" si="33"/>
        <v>4550.75</v>
      </c>
      <c r="G668" s="1"/>
    </row>
    <row r="669" spans="1:7" ht="14.1" customHeight="1">
      <c r="A669" s="480">
        <v>5</v>
      </c>
      <c r="B669" s="331" t="s">
        <v>1055</v>
      </c>
      <c r="C669" s="332" t="s">
        <v>3</v>
      </c>
      <c r="D669" s="14">
        <f>15*18*3</f>
        <v>810</v>
      </c>
      <c r="E669" s="18">
        <f>'MAT 31-10-2013'!R62</f>
        <v>8.0580208333333321</v>
      </c>
      <c r="F669" s="375">
        <f t="shared" si="33"/>
        <v>6527</v>
      </c>
      <c r="G669" s="1"/>
    </row>
    <row r="670" spans="1:7" ht="14.1" customHeight="1">
      <c r="A670" s="480">
        <v>6</v>
      </c>
      <c r="B670" s="331" t="s">
        <v>1056</v>
      </c>
      <c r="C670" s="332" t="s">
        <v>55</v>
      </c>
      <c r="D670" s="14">
        <f>4*5*1.5</f>
        <v>30</v>
      </c>
      <c r="E670" s="18">
        <f>'MAT 31-10-2013'!R51</f>
        <v>82.347222222222229</v>
      </c>
      <c r="F670" s="375">
        <f t="shared" si="33"/>
        <v>2470.42</v>
      </c>
      <c r="G670" s="1"/>
    </row>
    <row r="671" spans="1:7" ht="14.1" customHeight="1">
      <c r="A671" s="480">
        <v>7</v>
      </c>
      <c r="B671" s="220" t="s">
        <v>1057</v>
      </c>
      <c r="C671" s="324" t="s">
        <v>1026</v>
      </c>
      <c r="D671" s="14">
        <v>1</v>
      </c>
      <c r="E671" s="18">
        <f>'MAT 31-10-2013'!R119*2+'MAT 31-10-2013'!R120+'MAT 31-10-2013'!R123</f>
        <v>4705.5555555555557</v>
      </c>
      <c r="F671" s="375">
        <f t="shared" si="33"/>
        <v>4705.5600000000004</v>
      </c>
      <c r="G671" s="1"/>
    </row>
    <row r="672" spans="1:7" ht="14.1" customHeight="1">
      <c r="A672" s="480">
        <v>8</v>
      </c>
      <c r="B672" s="13" t="s">
        <v>1058</v>
      </c>
      <c r="C672" s="11" t="s">
        <v>55</v>
      </c>
      <c r="D672" s="14">
        <f>4*5*1.5</f>
        <v>30</v>
      </c>
      <c r="E672" s="18">
        <f>'MAT 31-10-2013'!R97</f>
        <v>46.125</v>
      </c>
      <c r="F672" s="375">
        <f t="shared" si="33"/>
        <v>1383.75</v>
      </c>
      <c r="G672" s="1"/>
    </row>
    <row r="673" spans="1:7" ht="14.1" customHeight="1">
      <c r="A673" s="480">
        <v>9</v>
      </c>
      <c r="B673" s="220" t="s">
        <v>1059</v>
      </c>
      <c r="C673" s="324" t="s">
        <v>329</v>
      </c>
      <c r="D673" s="14">
        <v>200</v>
      </c>
      <c r="E673" s="18">
        <f>'MAT 31-10-2013'!R80</f>
        <v>6.75</v>
      </c>
      <c r="F673" s="375">
        <f t="shared" si="33"/>
        <v>1350</v>
      </c>
      <c r="G673" s="1"/>
    </row>
    <row r="674" spans="1:7" ht="14.1" customHeight="1">
      <c r="A674" s="480">
        <v>10</v>
      </c>
      <c r="B674" s="201" t="s">
        <v>1061</v>
      </c>
      <c r="C674" s="11" t="s">
        <v>1026</v>
      </c>
      <c r="D674" s="14">
        <v>1</v>
      </c>
      <c r="E674" s="18">
        <v>2000</v>
      </c>
      <c r="F674" s="375">
        <f t="shared" si="33"/>
        <v>2000</v>
      </c>
      <c r="G674" s="1"/>
    </row>
    <row r="675" spans="1:7" ht="14.1" customHeight="1">
      <c r="A675" s="480">
        <v>11</v>
      </c>
      <c r="B675" s="13" t="s">
        <v>1060</v>
      </c>
      <c r="C675" s="11" t="s">
        <v>1026</v>
      </c>
      <c r="D675" s="14">
        <v>1</v>
      </c>
      <c r="E675" s="18">
        <v>8000</v>
      </c>
      <c r="F675" s="375">
        <f t="shared" si="33"/>
        <v>8000</v>
      </c>
      <c r="G675" s="1"/>
    </row>
    <row r="676" spans="1:7" ht="14.1" customHeight="1" thickBot="1">
      <c r="A676" s="480">
        <v>12</v>
      </c>
      <c r="B676" s="13"/>
      <c r="C676" s="11"/>
      <c r="D676" s="11"/>
      <c r="E676" s="18"/>
      <c r="F676" s="375">
        <f t="shared" si="33"/>
        <v>0</v>
      </c>
      <c r="G676" s="1"/>
    </row>
    <row r="677" spans="1:7" ht="14.1" customHeight="1" thickBot="1">
      <c r="A677" s="481"/>
      <c r="B677" s="5"/>
      <c r="C677" s="367"/>
      <c r="D677" s="367"/>
      <c r="E677" s="367" t="s">
        <v>151</v>
      </c>
      <c r="F677" s="376">
        <f>SUM(F665:F676)</f>
        <v>34231.410000000003</v>
      </c>
      <c r="G677" s="1"/>
    </row>
    <row r="678" spans="1:7" ht="14.1" customHeight="1">
      <c r="A678" s="482"/>
      <c r="B678" s="325"/>
      <c r="C678" s="328"/>
      <c r="D678" s="328"/>
      <c r="E678" s="328"/>
      <c r="F678" s="328"/>
      <c r="G678" s="1"/>
    </row>
    <row r="679" spans="1:7" ht="14.1" customHeight="1">
      <c r="A679" s="625" t="s">
        <v>152</v>
      </c>
      <c r="B679" s="625"/>
      <c r="C679" s="625"/>
      <c r="D679" s="625"/>
      <c r="E679" s="625"/>
      <c r="F679" s="625"/>
      <c r="G679" s="1"/>
    </row>
    <row r="680" spans="1:7" ht="14.1" customHeight="1">
      <c r="A680" s="482"/>
      <c r="B680" s="325"/>
      <c r="C680" s="328"/>
      <c r="D680" s="328"/>
      <c r="E680" s="328"/>
      <c r="F680" s="367"/>
      <c r="G680" s="1"/>
    </row>
    <row r="681" spans="1:7" ht="14.1" customHeight="1">
      <c r="A681" s="480">
        <v>13</v>
      </c>
      <c r="B681" s="17" t="s">
        <v>153</v>
      </c>
      <c r="C681" s="11" t="s">
        <v>154</v>
      </c>
      <c r="D681" s="330">
        <v>60</v>
      </c>
      <c r="E681" s="18">
        <f>'Mano de obra'!$J$20</f>
        <v>82.610000000000014</v>
      </c>
      <c r="F681" s="375">
        <f>ROUND(D681*E681, 2)</f>
        <v>4956.6000000000004</v>
      </c>
      <c r="G681" s="1"/>
    </row>
    <row r="682" spans="1:7" ht="14.1" customHeight="1">
      <c r="A682" s="480">
        <v>14</v>
      </c>
      <c r="B682" s="17" t="s">
        <v>155</v>
      </c>
      <c r="C682" s="11" t="s">
        <v>154</v>
      </c>
      <c r="D682" s="330">
        <v>150</v>
      </c>
      <c r="E682" s="18">
        <f>'Mano de obra'!$J$21</f>
        <v>70.38</v>
      </c>
      <c r="F682" s="375">
        <f t="shared" ref="F682:F685" si="34">ROUND(D682*E682, 2)</f>
        <v>10557</v>
      </c>
      <c r="G682" s="1"/>
    </row>
    <row r="683" spans="1:7" ht="14.1" customHeight="1">
      <c r="A683" s="480">
        <v>15</v>
      </c>
      <c r="B683" s="17" t="s">
        <v>156</v>
      </c>
      <c r="C683" s="11" t="s">
        <v>154</v>
      </c>
      <c r="D683" s="330">
        <v>0</v>
      </c>
      <c r="E683" s="18">
        <f>'Mano de obra'!$J$22</f>
        <v>64.78</v>
      </c>
      <c r="F683" s="375">
        <f t="shared" si="34"/>
        <v>0</v>
      </c>
      <c r="G683" s="1"/>
    </row>
    <row r="684" spans="1:7" ht="14.1" customHeight="1">
      <c r="A684" s="480">
        <v>16</v>
      </c>
      <c r="B684" s="17" t="s">
        <v>157</v>
      </c>
      <c r="C684" s="11" t="s">
        <v>154</v>
      </c>
      <c r="D684" s="330">
        <v>300</v>
      </c>
      <c r="E684" s="18">
        <f>'Mano de obra'!$J$23</f>
        <v>59.800000000000004</v>
      </c>
      <c r="F684" s="375">
        <f t="shared" si="34"/>
        <v>17940</v>
      </c>
      <c r="G684" s="1"/>
    </row>
    <row r="685" spans="1:7" ht="14.1" customHeight="1" thickBot="1">
      <c r="A685" s="480">
        <v>17</v>
      </c>
      <c r="B685" s="13"/>
      <c r="C685" s="11"/>
      <c r="D685" s="11"/>
      <c r="E685" s="18"/>
      <c r="F685" s="375">
        <f t="shared" si="34"/>
        <v>0</v>
      </c>
      <c r="G685" s="1"/>
    </row>
    <row r="686" spans="1:7" ht="14.1" customHeight="1" thickBot="1">
      <c r="A686" s="483"/>
      <c r="B686" s="325"/>
      <c r="C686" s="328"/>
      <c r="D686" s="328"/>
      <c r="E686" s="367" t="s">
        <v>158</v>
      </c>
      <c r="F686" s="376">
        <f>SUM(F681:F685)</f>
        <v>33453.599999999999</v>
      </c>
      <c r="G686" s="1"/>
    </row>
    <row r="687" spans="1:7" ht="14.1" customHeight="1" thickBot="1">
      <c r="A687" s="484"/>
      <c r="B687" s="325"/>
      <c r="C687" s="328"/>
      <c r="D687" s="328"/>
      <c r="E687" s="328"/>
      <c r="F687" s="367"/>
      <c r="G687" s="1"/>
    </row>
    <row r="688" spans="1:7" ht="14.1" customHeight="1" thickBot="1">
      <c r="A688" s="480"/>
      <c r="B688" s="142" t="s">
        <v>273</v>
      </c>
      <c r="C688" s="369"/>
      <c r="D688" s="369"/>
      <c r="E688" s="377" t="s">
        <v>159</v>
      </c>
      <c r="F688" s="376">
        <f>SUM(F677+F686)</f>
        <v>67685.010000000009</v>
      </c>
      <c r="G688" s="1"/>
    </row>
    <row r="689" spans="1:7" ht="15" customHeight="1">
      <c r="A689" s="626"/>
      <c r="B689" s="627" t="s">
        <v>274</v>
      </c>
      <c r="C689" s="628"/>
      <c r="D689" s="628"/>
      <c r="E689" s="629" t="s">
        <v>275</v>
      </c>
      <c r="F689" s="631">
        <f>ROUND(F688*'Coef. resumen'!$F$23, 2)</f>
        <v>100309.18</v>
      </c>
    </row>
    <row r="690" spans="1:7" ht="15" customHeight="1" thickBot="1">
      <c r="A690" s="626"/>
      <c r="B690" s="627"/>
      <c r="C690" s="628"/>
      <c r="D690" s="628"/>
      <c r="E690" s="630"/>
      <c r="F690" s="632"/>
    </row>
    <row r="691" spans="1:7" ht="15">
      <c r="A691" s="471"/>
      <c r="B691" s="2"/>
      <c r="C691" s="329"/>
      <c r="D691" s="329"/>
      <c r="E691" s="329"/>
      <c r="F691" s="329"/>
    </row>
    <row r="692" spans="1:7" ht="15">
      <c r="A692" s="471"/>
      <c r="B692" s="2"/>
      <c r="C692" s="329"/>
      <c r="D692" s="329"/>
      <c r="E692" s="329"/>
      <c r="F692" s="329"/>
    </row>
    <row r="693" spans="1:7" ht="15">
      <c r="A693" s="471"/>
      <c r="B693" s="194" t="str">
        <f>'Coef. resumen'!$B$30</f>
        <v>Julián Antonelli</v>
      </c>
      <c r="C693" s="524"/>
      <c r="D693" s="524"/>
      <c r="E693" s="194" t="str">
        <f>'Coef. resumen'!$E$30</f>
        <v>Marcelo A. Pasquini</v>
      </c>
      <c r="F693" s="329"/>
    </row>
    <row r="694" spans="1:7" ht="15">
      <c r="A694" s="471"/>
      <c r="B694" s="194" t="str">
        <f>'Coef. resumen'!$B$31</f>
        <v>Ing. Civil M.P. 2161</v>
      </c>
      <c r="C694" s="524"/>
      <c r="D694" s="524"/>
      <c r="E694" s="194" t="str">
        <f>'Coef. resumen'!$E$31</f>
        <v>Socio Gerente</v>
      </c>
      <c r="F694" s="329"/>
    </row>
    <row r="695" spans="1:7" ht="15">
      <c r="A695" s="471"/>
      <c r="B695" s="194" t="str">
        <f>'Coef. resumen'!$B$32</f>
        <v>Representante Técnico</v>
      </c>
      <c r="C695" s="524"/>
      <c r="D695" s="19"/>
      <c r="E695" s="194" t="str">
        <f>'Coef. resumen'!$E$32</f>
        <v>Pasquini Construcciones SRL</v>
      </c>
      <c r="F695" s="329"/>
    </row>
    <row r="696" spans="1:7" ht="15">
      <c r="A696" s="471"/>
      <c r="B696" s="194"/>
      <c r="C696" s="329"/>
      <c r="D696" s="19"/>
      <c r="E696" s="194"/>
      <c r="F696" s="329"/>
    </row>
    <row r="697" spans="1:7" ht="14.1" customHeight="1">
      <c r="A697" s="477" t="s">
        <v>142</v>
      </c>
      <c r="B697" s="613" t="str">
        <f>Presupuesto!B42</f>
        <v>Red eléctrica trifásica hasta caseta de cloración</v>
      </c>
      <c r="C697" s="614"/>
      <c r="D697" s="615"/>
      <c r="E697" s="367" t="s">
        <v>143</v>
      </c>
      <c r="F697" s="30" t="str">
        <f>Presupuesto!C42</f>
        <v>ml</v>
      </c>
      <c r="G697" s="1"/>
    </row>
    <row r="698" spans="1:7" ht="14.1" customHeight="1">
      <c r="A698" s="622" t="str">
        <f>Presupuesto!A42</f>
        <v>1.6.2</v>
      </c>
      <c r="B698" s="616"/>
      <c r="C698" s="617"/>
      <c r="D698" s="618"/>
      <c r="E698" s="367"/>
      <c r="F698" s="367"/>
      <c r="G698" s="1"/>
    </row>
    <row r="699" spans="1:7" ht="14.1" customHeight="1">
      <c r="A699" s="622"/>
      <c r="B699" s="616"/>
      <c r="C699" s="617"/>
      <c r="D699" s="618"/>
      <c r="E699" s="367"/>
      <c r="F699" s="367"/>
      <c r="G699" s="1"/>
    </row>
    <row r="700" spans="1:7" ht="14.1" customHeight="1">
      <c r="A700" s="623"/>
      <c r="B700" s="619"/>
      <c r="C700" s="620"/>
      <c r="D700" s="621"/>
      <c r="E700" s="367"/>
      <c r="F700" s="367"/>
      <c r="G700" s="1"/>
    </row>
    <row r="701" spans="1:7" ht="14.1" customHeight="1">
      <c r="A701" s="478"/>
      <c r="B701" s="29"/>
      <c r="C701" s="368"/>
      <c r="D701" s="368"/>
      <c r="E701" s="365"/>
      <c r="F701" s="365"/>
      <c r="G701" s="1"/>
    </row>
    <row r="702" spans="1:7" ht="14.1" customHeight="1">
      <c r="A702" s="624" t="s">
        <v>144</v>
      </c>
      <c r="B702" s="624"/>
      <c r="C702" s="624"/>
      <c r="D702" s="624"/>
      <c r="E702" s="624"/>
      <c r="F702" s="624"/>
      <c r="G702" s="1"/>
    </row>
    <row r="703" spans="1:7" ht="14.1" customHeight="1">
      <c r="A703" s="479"/>
      <c r="B703" s="10"/>
      <c r="C703" s="327"/>
      <c r="D703" s="327"/>
      <c r="E703" s="327"/>
      <c r="F703" s="327"/>
      <c r="G703" s="1"/>
    </row>
    <row r="704" spans="1:7" ht="15.95" customHeight="1">
      <c r="A704" s="480" t="s">
        <v>145</v>
      </c>
      <c r="B704" s="11" t="s">
        <v>146</v>
      </c>
      <c r="C704" s="11" t="s">
        <v>147</v>
      </c>
      <c r="D704" s="11" t="s">
        <v>148</v>
      </c>
      <c r="E704" s="12" t="s">
        <v>149</v>
      </c>
      <c r="F704" s="11" t="s">
        <v>150</v>
      </c>
      <c r="G704" s="1"/>
    </row>
    <row r="705" spans="1:7" ht="14.1" customHeight="1">
      <c r="A705" s="480">
        <v>1</v>
      </c>
      <c r="B705" s="331" t="s">
        <v>1150</v>
      </c>
      <c r="C705" s="332" t="s">
        <v>1026</v>
      </c>
      <c r="D705" s="14">
        <v>1</v>
      </c>
      <c r="E705" s="18">
        <f>'MAT 31-10-2013'!R42*5</f>
        <v>261.41975308641975</v>
      </c>
      <c r="F705" s="375">
        <f>ROUND(D705*E705, 2)</f>
        <v>261.42</v>
      </c>
      <c r="G705" s="1"/>
    </row>
    <row r="706" spans="1:7" ht="14.1" customHeight="1">
      <c r="A706" s="480">
        <v>2</v>
      </c>
      <c r="B706" s="331" t="s">
        <v>1151</v>
      </c>
      <c r="C706" s="332" t="s">
        <v>1026</v>
      </c>
      <c r="D706" s="14">
        <v>1</v>
      </c>
      <c r="E706" s="18">
        <f>'MAT 31-10-2013'!R170*3</f>
        <v>101.16041666666666</v>
      </c>
      <c r="F706" s="375">
        <f t="shared" ref="F706:F716" si="35">ROUND(D706*E706, 2)</f>
        <v>101.16</v>
      </c>
      <c r="G706" s="1"/>
    </row>
    <row r="707" spans="1:7" ht="14.1" customHeight="1">
      <c r="A707" s="480">
        <v>3</v>
      </c>
      <c r="B707" s="331"/>
      <c r="C707" s="332"/>
      <c r="D707" s="14"/>
      <c r="E707" s="18"/>
      <c r="F707" s="375">
        <f t="shared" si="35"/>
        <v>0</v>
      </c>
      <c r="G707" s="1"/>
    </row>
    <row r="708" spans="1:7" ht="14.1" customHeight="1">
      <c r="A708" s="480">
        <v>4</v>
      </c>
      <c r="B708" s="331"/>
      <c r="C708" s="332"/>
      <c r="D708" s="14"/>
      <c r="E708" s="18"/>
      <c r="F708" s="375">
        <f t="shared" si="35"/>
        <v>0</v>
      </c>
      <c r="G708" s="1"/>
    </row>
    <row r="709" spans="1:7" ht="14.1" customHeight="1">
      <c r="A709" s="480">
        <v>5</v>
      </c>
      <c r="B709" s="331"/>
      <c r="C709" s="332"/>
      <c r="D709" s="14"/>
      <c r="E709" s="18"/>
      <c r="F709" s="375">
        <f t="shared" si="35"/>
        <v>0</v>
      </c>
      <c r="G709" s="1"/>
    </row>
    <row r="710" spans="1:7" ht="14.1" customHeight="1">
      <c r="A710" s="480">
        <v>6</v>
      </c>
      <c r="B710" s="331"/>
      <c r="C710" s="332"/>
      <c r="D710" s="14"/>
      <c r="E710" s="18"/>
      <c r="F710" s="375">
        <f t="shared" si="35"/>
        <v>0</v>
      </c>
      <c r="G710" s="1"/>
    </row>
    <row r="711" spans="1:7" ht="14.1" customHeight="1">
      <c r="A711" s="480">
        <v>7</v>
      </c>
      <c r="B711" s="220"/>
      <c r="C711" s="324"/>
      <c r="D711" s="14"/>
      <c r="E711" s="18"/>
      <c r="F711" s="375">
        <f t="shared" si="35"/>
        <v>0</v>
      </c>
      <c r="G711" s="1"/>
    </row>
    <row r="712" spans="1:7" ht="14.1" customHeight="1">
      <c r="A712" s="480">
        <v>8</v>
      </c>
      <c r="B712" s="13"/>
      <c r="C712" s="11"/>
      <c r="D712" s="14"/>
      <c r="E712" s="18"/>
      <c r="F712" s="375">
        <f t="shared" si="35"/>
        <v>0</v>
      </c>
      <c r="G712" s="1"/>
    </row>
    <row r="713" spans="1:7" ht="14.1" customHeight="1">
      <c r="A713" s="480">
        <v>9</v>
      </c>
      <c r="B713" s="220"/>
      <c r="C713" s="324"/>
      <c r="D713" s="14"/>
      <c r="E713" s="18"/>
      <c r="F713" s="375">
        <f t="shared" si="35"/>
        <v>0</v>
      </c>
      <c r="G713" s="1"/>
    </row>
    <row r="714" spans="1:7" ht="14.1" customHeight="1">
      <c r="A714" s="480">
        <v>10</v>
      </c>
      <c r="B714" s="201"/>
      <c r="C714" s="11"/>
      <c r="D714" s="14"/>
      <c r="E714" s="18"/>
      <c r="F714" s="375">
        <f t="shared" si="35"/>
        <v>0</v>
      </c>
      <c r="G714" s="1"/>
    </row>
    <row r="715" spans="1:7" ht="14.1" customHeight="1">
      <c r="A715" s="480">
        <v>11</v>
      </c>
      <c r="B715" s="13"/>
      <c r="C715" s="11"/>
      <c r="D715" s="14"/>
      <c r="E715" s="18"/>
      <c r="F715" s="375">
        <f t="shared" si="35"/>
        <v>0</v>
      </c>
      <c r="G715" s="1"/>
    </row>
    <row r="716" spans="1:7" ht="14.1" customHeight="1" thickBot="1">
      <c r="A716" s="480">
        <v>12</v>
      </c>
      <c r="B716" s="13"/>
      <c r="C716" s="11"/>
      <c r="D716" s="11"/>
      <c r="E716" s="18"/>
      <c r="F716" s="375">
        <f t="shared" si="35"/>
        <v>0</v>
      </c>
      <c r="G716" s="1"/>
    </row>
    <row r="717" spans="1:7" ht="14.1" customHeight="1" thickBot="1">
      <c r="A717" s="481"/>
      <c r="B717" s="5"/>
      <c r="C717" s="367"/>
      <c r="D717" s="367"/>
      <c r="E717" s="367" t="s">
        <v>151</v>
      </c>
      <c r="F717" s="376">
        <f>SUM(F705:F716)</f>
        <v>362.58000000000004</v>
      </c>
      <c r="G717" s="1"/>
    </row>
    <row r="718" spans="1:7" ht="14.1" customHeight="1">
      <c r="A718" s="482"/>
      <c r="B718" s="325"/>
      <c r="C718" s="328"/>
      <c r="D718" s="328"/>
      <c r="E718" s="328"/>
      <c r="F718" s="328"/>
      <c r="G718" s="1"/>
    </row>
    <row r="719" spans="1:7" ht="14.1" customHeight="1">
      <c r="A719" s="625" t="s">
        <v>152</v>
      </c>
      <c r="B719" s="625"/>
      <c r="C719" s="625"/>
      <c r="D719" s="625"/>
      <c r="E719" s="625"/>
      <c r="F719" s="625"/>
      <c r="G719" s="1"/>
    </row>
    <row r="720" spans="1:7" ht="14.1" customHeight="1">
      <c r="A720" s="482"/>
      <c r="B720" s="325"/>
      <c r="C720" s="328"/>
      <c r="D720" s="328"/>
      <c r="E720" s="328"/>
      <c r="F720" s="367"/>
      <c r="G720" s="1"/>
    </row>
    <row r="721" spans="1:7" ht="14.1" customHeight="1">
      <c r="A721" s="480">
        <v>13</v>
      </c>
      <c r="B721" s="17" t="s">
        <v>153</v>
      </c>
      <c r="C721" s="11" t="s">
        <v>154</v>
      </c>
      <c r="D721" s="330">
        <v>2</v>
      </c>
      <c r="E721" s="18">
        <f>'Mano de obra'!$J$20</f>
        <v>82.610000000000014</v>
      </c>
      <c r="F721" s="375">
        <f>ROUND(D721*E721, 2)</f>
        <v>165.22</v>
      </c>
      <c r="G721" s="1"/>
    </row>
    <row r="722" spans="1:7" ht="14.1" customHeight="1">
      <c r="A722" s="480">
        <v>14</v>
      </c>
      <c r="B722" s="17" t="s">
        <v>155</v>
      </c>
      <c r="C722" s="11" t="s">
        <v>154</v>
      </c>
      <c r="D722" s="330">
        <v>0</v>
      </c>
      <c r="E722" s="18">
        <f>'Mano de obra'!$J$21</f>
        <v>70.38</v>
      </c>
      <c r="F722" s="375">
        <f t="shared" ref="F722:F725" si="36">ROUND(D722*E722, 2)</f>
        <v>0</v>
      </c>
      <c r="G722" s="1"/>
    </row>
    <row r="723" spans="1:7" ht="14.1" customHeight="1">
      <c r="A723" s="480">
        <v>15</v>
      </c>
      <c r="B723" s="17" t="s">
        <v>156</v>
      </c>
      <c r="C723" s="11" t="s">
        <v>154</v>
      </c>
      <c r="D723" s="330">
        <v>0</v>
      </c>
      <c r="E723" s="18">
        <f>'Mano de obra'!$J$22</f>
        <v>64.78</v>
      </c>
      <c r="F723" s="375">
        <f t="shared" si="36"/>
        <v>0</v>
      </c>
      <c r="G723" s="1"/>
    </row>
    <row r="724" spans="1:7" ht="14.1" customHeight="1">
      <c r="A724" s="480">
        <v>16</v>
      </c>
      <c r="B724" s="17" t="s">
        <v>157</v>
      </c>
      <c r="C724" s="11" t="s">
        <v>154</v>
      </c>
      <c r="D724" s="330">
        <v>2</v>
      </c>
      <c r="E724" s="18">
        <f>'Mano de obra'!$J$23</f>
        <v>59.800000000000004</v>
      </c>
      <c r="F724" s="375">
        <f t="shared" si="36"/>
        <v>119.6</v>
      </c>
      <c r="G724" s="1"/>
    </row>
    <row r="725" spans="1:7" ht="14.1" customHeight="1" thickBot="1">
      <c r="A725" s="480">
        <v>17</v>
      </c>
      <c r="B725" s="13"/>
      <c r="C725" s="11"/>
      <c r="D725" s="11"/>
      <c r="E725" s="18"/>
      <c r="F725" s="375">
        <f t="shared" si="36"/>
        <v>0</v>
      </c>
      <c r="G725" s="1"/>
    </row>
    <row r="726" spans="1:7" ht="14.1" customHeight="1" thickBot="1">
      <c r="A726" s="483"/>
      <c r="B726" s="325"/>
      <c r="C726" s="328"/>
      <c r="D726" s="328"/>
      <c r="E726" s="367" t="s">
        <v>158</v>
      </c>
      <c r="F726" s="376">
        <f>SUM(F721:F725)</f>
        <v>284.82</v>
      </c>
      <c r="G726" s="1"/>
    </row>
    <row r="727" spans="1:7" ht="14.1" customHeight="1" thickBot="1">
      <c r="A727" s="484"/>
      <c r="B727" s="325"/>
      <c r="C727" s="328"/>
      <c r="D727" s="328"/>
      <c r="E727" s="328"/>
      <c r="F727" s="367"/>
      <c r="G727" s="1"/>
    </row>
    <row r="728" spans="1:7" ht="14.1" customHeight="1" thickBot="1">
      <c r="A728" s="480"/>
      <c r="B728" s="142" t="s">
        <v>273</v>
      </c>
      <c r="C728" s="369"/>
      <c r="D728" s="369"/>
      <c r="E728" s="377" t="s">
        <v>159</v>
      </c>
      <c r="F728" s="376">
        <f>SUM(F717+F726)</f>
        <v>647.40000000000009</v>
      </c>
      <c r="G728" s="1"/>
    </row>
    <row r="729" spans="1:7" ht="15" customHeight="1">
      <c r="A729" s="626"/>
      <c r="B729" s="627" t="s">
        <v>274</v>
      </c>
      <c r="C729" s="628"/>
      <c r="D729" s="628"/>
      <c r="E729" s="629" t="s">
        <v>275</v>
      </c>
      <c r="F729" s="631">
        <f>ROUND(F728*'Coef. resumen'!$F$23, 2)</f>
        <v>959.45</v>
      </c>
    </row>
    <row r="730" spans="1:7" ht="15" customHeight="1" thickBot="1">
      <c r="A730" s="626"/>
      <c r="B730" s="627"/>
      <c r="C730" s="628"/>
      <c r="D730" s="628"/>
      <c r="E730" s="630"/>
      <c r="F730" s="632"/>
    </row>
    <row r="731" spans="1:7" ht="15">
      <c r="A731" s="471"/>
      <c r="B731" s="2"/>
      <c r="C731" s="329"/>
      <c r="D731" s="329"/>
      <c r="E731" s="329"/>
      <c r="F731" s="329"/>
    </row>
    <row r="732" spans="1:7" ht="15">
      <c r="A732" s="471"/>
      <c r="B732" s="2"/>
      <c r="C732" s="329"/>
      <c r="D732" s="329"/>
      <c r="E732" s="329"/>
      <c r="F732" s="329"/>
    </row>
    <row r="733" spans="1:7" ht="15">
      <c r="A733" s="471"/>
      <c r="B733" s="194" t="str">
        <f>'Coef. resumen'!$B$30</f>
        <v>Julián Antonelli</v>
      </c>
      <c r="C733" s="524"/>
      <c r="D733" s="524"/>
      <c r="E733" s="194" t="str">
        <f>'Coef. resumen'!$E$30</f>
        <v>Marcelo A. Pasquini</v>
      </c>
      <c r="F733" s="329"/>
    </row>
    <row r="734" spans="1:7" ht="15">
      <c r="A734" s="471"/>
      <c r="B734" s="194" t="str">
        <f>'Coef. resumen'!$B$31</f>
        <v>Ing. Civil M.P. 2161</v>
      </c>
      <c r="C734" s="524"/>
      <c r="D734" s="524"/>
      <c r="E734" s="194" t="str">
        <f>'Coef. resumen'!$E$31</f>
        <v>Socio Gerente</v>
      </c>
      <c r="F734" s="329"/>
    </row>
    <row r="735" spans="1:7" ht="15">
      <c r="A735" s="471"/>
      <c r="B735" s="194" t="str">
        <f>'Coef. resumen'!$B$32</f>
        <v>Representante Técnico</v>
      </c>
      <c r="C735" s="524"/>
      <c r="D735" s="19"/>
      <c r="E735" s="194" t="str">
        <f>'Coef. resumen'!$E$32</f>
        <v>Pasquini Construcciones SRL</v>
      </c>
      <c r="F735" s="329"/>
    </row>
    <row r="736" spans="1:7" ht="15">
      <c r="A736" s="471"/>
      <c r="B736" s="194"/>
      <c r="C736" s="329"/>
      <c r="D736" s="19"/>
      <c r="E736" s="194"/>
      <c r="F736" s="329"/>
    </row>
    <row r="737" spans="1:7" ht="14.1" customHeight="1">
      <c r="A737" s="477" t="s">
        <v>142</v>
      </c>
      <c r="B737" s="613" t="str">
        <f>Presupuesto!B43</f>
        <v>Acometida eléctrica 380V con medidor y gabinete</v>
      </c>
      <c r="C737" s="614"/>
      <c r="D737" s="615"/>
      <c r="E737" s="367" t="s">
        <v>143</v>
      </c>
      <c r="F737" s="30" t="str">
        <f>Presupuesto!C43</f>
        <v>Gl</v>
      </c>
      <c r="G737" s="1"/>
    </row>
    <row r="738" spans="1:7" ht="14.1" customHeight="1">
      <c r="A738" s="622" t="str">
        <f>Presupuesto!A43</f>
        <v>1.6.3</v>
      </c>
      <c r="B738" s="616"/>
      <c r="C738" s="617"/>
      <c r="D738" s="618"/>
      <c r="E738" s="367"/>
      <c r="F738" s="367"/>
      <c r="G738" s="1"/>
    </row>
    <row r="739" spans="1:7" ht="14.1" customHeight="1">
      <c r="A739" s="622"/>
      <c r="B739" s="616"/>
      <c r="C739" s="617"/>
      <c r="D739" s="618"/>
      <c r="E739" s="367"/>
      <c r="F739" s="367"/>
      <c r="G739" s="1"/>
    </row>
    <row r="740" spans="1:7" ht="14.1" customHeight="1">
      <c r="A740" s="623"/>
      <c r="B740" s="619"/>
      <c r="C740" s="620"/>
      <c r="D740" s="621"/>
      <c r="E740" s="367"/>
      <c r="F740" s="367"/>
      <c r="G740" s="1"/>
    </row>
    <row r="741" spans="1:7" ht="14.1" customHeight="1">
      <c r="A741" s="478"/>
      <c r="B741" s="29"/>
      <c r="C741" s="368"/>
      <c r="D741" s="368"/>
      <c r="E741" s="365"/>
      <c r="F741" s="365"/>
      <c r="G741" s="1"/>
    </row>
    <row r="742" spans="1:7" ht="14.1" customHeight="1">
      <c r="A742" s="624" t="s">
        <v>144</v>
      </c>
      <c r="B742" s="624"/>
      <c r="C742" s="624"/>
      <c r="D742" s="624"/>
      <c r="E742" s="624"/>
      <c r="F742" s="624"/>
      <c r="G742" s="1"/>
    </row>
    <row r="743" spans="1:7" ht="14.1" customHeight="1">
      <c r="A743" s="479"/>
      <c r="B743" s="10"/>
      <c r="C743" s="327"/>
      <c r="D743" s="327"/>
      <c r="E743" s="327"/>
      <c r="F743" s="327"/>
      <c r="G743" s="1"/>
    </row>
    <row r="744" spans="1:7" ht="15.95" customHeight="1">
      <c r="A744" s="480" t="s">
        <v>145</v>
      </c>
      <c r="B744" s="11" t="s">
        <v>146</v>
      </c>
      <c r="C744" s="11" t="s">
        <v>147</v>
      </c>
      <c r="D744" s="11" t="s">
        <v>148</v>
      </c>
      <c r="E744" s="12" t="s">
        <v>149</v>
      </c>
      <c r="F744" s="11" t="s">
        <v>150</v>
      </c>
      <c r="G744" s="1"/>
    </row>
    <row r="745" spans="1:7" ht="14.1" customHeight="1">
      <c r="A745" s="480">
        <v>1</v>
      </c>
      <c r="B745" s="331" t="s">
        <v>1152</v>
      </c>
      <c r="C745" s="332" t="s">
        <v>433</v>
      </c>
      <c r="D745" s="14">
        <v>1</v>
      </c>
      <c r="E745" s="18">
        <v>500</v>
      </c>
      <c r="F745" s="375">
        <f>ROUND(D745*E745, 2)</f>
        <v>500</v>
      </c>
      <c r="G745" s="1"/>
    </row>
    <row r="746" spans="1:7" ht="14.1" customHeight="1">
      <c r="A746" s="480">
        <v>2</v>
      </c>
      <c r="B746" s="331" t="s">
        <v>1153</v>
      </c>
      <c r="C746" s="332" t="s">
        <v>433</v>
      </c>
      <c r="D746" s="14">
        <v>1</v>
      </c>
      <c r="E746" s="18">
        <v>2500</v>
      </c>
      <c r="F746" s="375">
        <f t="shared" ref="F746:F756" si="37">ROUND(D746*E746, 2)</f>
        <v>2500</v>
      </c>
      <c r="G746" s="1"/>
    </row>
    <row r="747" spans="1:7" ht="14.1" customHeight="1">
      <c r="A747" s="480">
        <v>3</v>
      </c>
      <c r="B747" s="331" t="s">
        <v>1151</v>
      </c>
      <c r="C747" s="332" t="s">
        <v>1026</v>
      </c>
      <c r="D747" s="14">
        <v>1</v>
      </c>
      <c r="E747" s="18">
        <v>1800</v>
      </c>
      <c r="F747" s="375">
        <f t="shared" si="37"/>
        <v>1800</v>
      </c>
      <c r="G747" s="1"/>
    </row>
    <row r="748" spans="1:7" ht="14.1" customHeight="1">
      <c r="A748" s="480">
        <v>4</v>
      </c>
      <c r="B748" s="331"/>
      <c r="C748" s="332"/>
      <c r="D748" s="14"/>
      <c r="E748" s="18"/>
      <c r="F748" s="375">
        <f t="shared" si="37"/>
        <v>0</v>
      </c>
      <c r="G748" s="1"/>
    </row>
    <row r="749" spans="1:7" ht="14.1" customHeight="1">
      <c r="A749" s="480">
        <v>5</v>
      </c>
      <c r="B749" s="331"/>
      <c r="C749" s="332"/>
      <c r="D749" s="14"/>
      <c r="E749" s="18"/>
      <c r="F749" s="375">
        <f t="shared" si="37"/>
        <v>0</v>
      </c>
      <c r="G749" s="1"/>
    </row>
    <row r="750" spans="1:7" ht="14.1" customHeight="1">
      <c r="A750" s="480">
        <v>6</v>
      </c>
      <c r="B750" s="331"/>
      <c r="C750" s="332"/>
      <c r="D750" s="14"/>
      <c r="E750" s="18"/>
      <c r="F750" s="375">
        <f t="shared" si="37"/>
        <v>0</v>
      </c>
      <c r="G750" s="1"/>
    </row>
    <row r="751" spans="1:7" ht="14.1" customHeight="1">
      <c r="A751" s="480">
        <v>7</v>
      </c>
      <c r="B751" s="220"/>
      <c r="C751" s="324"/>
      <c r="D751" s="14"/>
      <c r="E751" s="18"/>
      <c r="F751" s="375">
        <f t="shared" si="37"/>
        <v>0</v>
      </c>
      <c r="G751" s="1"/>
    </row>
    <row r="752" spans="1:7" ht="14.1" customHeight="1">
      <c r="A752" s="480">
        <v>8</v>
      </c>
      <c r="B752" s="13"/>
      <c r="C752" s="11"/>
      <c r="D752" s="14"/>
      <c r="E752" s="18"/>
      <c r="F752" s="375">
        <f t="shared" si="37"/>
        <v>0</v>
      </c>
      <c r="G752" s="1"/>
    </row>
    <row r="753" spans="1:7" ht="14.1" customHeight="1">
      <c r="A753" s="480">
        <v>9</v>
      </c>
      <c r="B753" s="220"/>
      <c r="C753" s="324"/>
      <c r="D753" s="14"/>
      <c r="E753" s="18"/>
      <c r="F753" s="375">
        <f t="shared" si="37"/>
        <v>0</v>
      </c>
      <c r="G753" s="1"/>
    </row>
    <row r="754" spans="1:7" ht="14.1" customHeight="1">
      <c r="A754" s="480">
        <v>10</v>
      </c>
      <c r="B754" s="201"/>
      <c r="C754" s="11"/>
      <c r="D754" s="14"/>
      <c r="E754" s="18"/>
      <c r="F754" s="375">
        <f t="shared" si="37"/>
        <v>0</v>
      </c>
      <c r="G754" s="1"/>
    </row>
    <row r="755" spans="1:7" ht="14.1" customHeight="1">
      <c r="A755" s="480">
        <v>11</v>
      </c>
      <c r="B755" s="13"/>
      <c r="C755" s="11"/>
      <c r="D755" s="14"/>
      <c r="E755" s="18"/>
      <c r="F755" s="375">
        <f t="shared" si="37"/>
        <v>0</v>
      </c>
      <c r="G755" s="1"/>
    </row>
    <row r="756" spans="1:7" ht="14.1" customHeight="1" thickBot="1">
      <c r="A756" s="480">
        <v>12</v>
      </c>
      <c r="B756" s="13"/>
      <c r="C756" s="11"/>
      <c r="D756" s="11"/>
      <c r="E756" s="18"/>
      <c r="F756" s="375">
        <f t="shared" si="37"/>
        <v>0</v>
      </c>
      <c r="G756" s="1"/>
    </row>
    <row r="757" spans="1:7" ht="14.1" customHeight="1" thickBot="1">
      <c r="A757" s="481"/>
      <c r="B757" s="5"/>
      <c r="C757" s="367"/>
      <c r="D757" s="367"/>
      <c r="E757" s="367" t="s">
        <v>151</v>
      </c>
      <c r="F757" s="376">
        <f>SUM(F745:F756)</f>
        <v>4800</v>
      </c>
      <c r="G757" s="1"/>
    </row>
    <row r="758" spans="1:7" ht="14.1" customHeight="1">
      <c r="A758" s="482"/>
      <c r="B758" s="325"/>
      <c r="C758" s="328"/>
      <c r="D758" s="328"/>
      <c r="E758" s="328"/>
      <c r="F758" s="328"/>
      <c r="G758" s="1"/>
    </row>
    <row r="759" spans="1:7" ht="14.1" customHeight="1">
      <c r="A759" s="625" t="s">
        <v>152</v>
      </c>
      <c r="B759" s="625"/>
      <c r="C759" s="625"/>
      <c r="D759" s="625"/>
      <c r="E759" s="625"/>
      <c r="F759" s="625"/>
      <c r="G759" s="1"/>
    </row>
    <row r="760" spans="1:7" ht="14.1" customHeight="1">
      <c r="A760" s="482"/>
      <c r="B760" s="325"/>
      <c r="C760" s="328"/>
      <c r="D760" s="328"/>
      <c r="E760" s="328"/>
      <c r="F760" s="367"/>
      <c r="G760" s="1"/>
    </row>
    <row r="761" spans="1:7" ht="14.1" customHeight="1">
      <c r="A761" s="480">
        <v>13</v>
      </c>
      <c r="B761" s="17" t="s">
        <v>153</v>
      </c>
      <c r="C761" s="11" t="s">
        <v>154</v>
      </c>
      <c r="D761" s="330">
        <v>8</v>
      </c>
      <c r="E761" s="18">
        <f>'Mano de obra'!$J$20</f>
        <v>82.610000000000014</v>
      </c>
      <c r="F761" s="375">
        <f>ROUND(D761*E761, 2)</f>
        <v>660.88</v>
      </c>
      <c r="G761" s="1"/>
    </row>
    <row r="762" spans="1:7" ht="14.1" customHeight="1">
      <c r="A762" s="480">
        <v>14</v>
      </c>
      <c r="B762" s="17" t="s">
        <v>155</v>
      </c>
      <c r="C762" s="11" t="s">
        <v>154</v>
      </c>
      <c r="D762" s="330">
        <v>0</v>
      </c>
      <c r="E762" s="18">
        <f>'Mano de obra'!$J$21</f>
        <v>70.38</v>
      </c>
      <c r="F762" s="375">
        <f t="shared" ref="F762:F765" si="38">ROUND(D762*E762, 2)</f>
        <v>0</v>
      </c>
      <c r="G762" s="1"/>
    </row>
    <row r="763" spans="1:7" ht="14.1" customHeight="1">
      <c r="A763" s="480">
        <v>15</v>
      </c>
      <c r="B763" s="17" t="s">
        <v>156</v>
      </c>
      <c r="C763" s="11" t="s">
        <v>154</v>
      </c>
      <c r="D763" s="330">
        <v>0</v>
      </c>
      <c r="E763" s="18">
        <f>'Mano de obra'!$J$22</f>
        <v>64.78</v>
      </c>
      <c r="F763" s="375">
        <f t="shared" si="38"/>
        <v>0</v>
      </c>
      <c r="G763" s="1"/>
    </row>
    <row r="764" spans="1:7" ht="14.1" customHeight="1">
      <c r="A764" s="480">
        <v>16</v>
      </c>
      <c r="B764" s="17" t="s">
        <v>157</v>
      </c>
      <c r="C764" s="11" t="s">
        <v>154</v>
      </c>
      <c r="D764" s="330">
        <v>8</v>
      </c>
      <c r="E764" s="18">
        <f>'Mano de obra'!$J$23</f>
        <v>59.800000000000004</v>
      </c>
      <c r="F764" s="375">
        <f t="shared" si="38"/>
        <v>478.4</v>
      </c>
      <c r="G764" s="1"/>
    </row>
    <row r="765" spans="1:7" ht="14.1" customHeight="1" thickBot="1">
      <c r="A765" s="480">
        <v>17</v>
      </c>
      <c r="B765" s="13"/>
      <c r="C765" s="11"/>
      <c r="D765" s="11"/>
      <c r="E765" s="18"/>
      <c r="F765" s="375">
        <f t="shared" si="38"/>
        <v>0</v>
      </c>
      <c r="G765" s="1"/>
    </row>
    <row r="766" spans="1:7" ht="14.1" customHeight="1" thickBot="1">
      <c r="A766" s="483"/>
      <c r="B766" s="325"/>
      <c r="C766" s="328"/>
      <c r="D766" s="328"/>
      <c r="E766" s="367" t="s">
        <v>158</v>
      </c>
      <c r="F766" s="376">
        <f>SUM(F761:F765)</f>
        <v>1139.28</v>
      </c>
      <c r="G766" s="1"/>
    </row>
    <row r="767" spans="1:7" ht="14.1" customHeight="1" thickBot="1">
      <c r="A767" s="484"/>
      <c r="B767" s="325"/>
      <c r="C767" s="328"/>
      <c r="D767" s="328"/>
      <c r="E767" s="328"/>
      <c r="F767" s="367"/>
      <c r="G767" s="1"/>
    </row>
    <row r="768" spans="1:7" ht="14.1" customHeight="1" thickBot="1">
      <c r="A768" s="480"/>
      <c r="B768" s="142" t="s">
        <v>273</v>
      </c>
      <c r="C768" s="369"/>
      <c r="D768" s="369"/>
      <c r="E768" s="377" t="s">
        <v>159</v>
      </c>
      <c r="F768" s="376">
        <f>SUM(F757+F766)</f>
        <v>5939.28</v>
      </c>
      <c r="G768" s="1"/>
    </row>
    <row r="769" spans="1:7" ht="15" customHeight="1">
      <c r="A769" s="626"/>
      <c r="B769" s="627" t="s">
        <v>274</v>
      </c>
      <c r="C769" s="628"/>
      <c r="D769" s="628"/>
      <c r="E769" s="629" t="s">
        <v>275</v>
      </c>
      <c r="F769" s="631">
        <f>ROUND(F768*'Coef. resumen'!$F$23, 2)</f>
        <v>8802.01</v>
      </c>
    </row>
    <row r="770" spans="1:7" ht="15" customHeight="1" thickBot="1">
      <c r="A770" s="626"/>
      <c r="B770" s="627"/>
      <c r="C770" s="628"/>
      <c r="D770" s="628"/>
      <c r="E770" s="630"/>
      <c r="F770" s="632"/>
    </row>
    <row r="771" spans="1:7" ht="15">
      <c r="A771" s="471"/>
      <c r="B771" s="2"/>
      <c r="C771" s="329"/>
      <c r="D771" s="329"/>
      <c r="E771" s="329"/>
      <c r="F771" s="329"/>
    </row>
    <row r="772" spans="1:7" ht="15">
      <c r="A772" s="471"/>
      <c r="B772" s="2"/>
      <c r="C772" s="329"/>
      <c r="D772" s="329"/>
      <c r="E772" s="329"/>
      <c r="F772" s="329"/>
    </row>
    <row r="773" spans="1:7" ht="15">
      <c r="A773" s="471"/>
      <c r="B773" s="194" t="str">
        <f>'Coef. resumen'!$B$30</f>
        <v>Julián Antonelli</v>
      </c>
      <c r="C773" s="524"/>
      <c r="D773" s="524"/>
      <c r="E773" s="194" t="str">
        <f>'Coef. resumen'!$E$30</f>
        <v>Marcelo A. Pasquini</v>
      </c>
      <c r="F773" s="329"/>
    </row>
    <row r="774" spans="1:7" ht="15">
      <c r="A774" s="471"/>
      <c r="B774" s="194" t="str">
        <f>'Coef. resumen'!$B$31</f>
        <v>Ing. Civil M.P. 2161</v>
      </c>
      <c r="C774" s="524"/>
      <c r="D774" s="524"/>
      <c r="E774" s="194" t="str">
        <f>'Coef. resumen'!$E$31</f>
        <v>Socio Gerente</v>
      </c>
      <c r="F774" s="329"/>
    </row>
    <row r="775" spans="1:7" ht="15">
      <c r="A775" s="471"/>
      <c r="B775" s="194" t="str">
        <f>'Coef. resumen'!$B$32</f>
        <v>Representante Técnico</v>
      </c>
      <c r="C775" s="524"/>
      <c r="D775" s="19"/>
      <c r="E775" s="194" t="str">
        <f>'Coef. resumen'!$E$32</f>
        <v>Pasquini Construcciones SRL</v>
      </c>
      <c r="F775" s="329"/>
    </row>
    <row r="776" spans="1:7" ht="15">
      <c r="A776" s="471"/>
      <c r="B776" s="194"/>
      <c r="C776" s="329"/>
      <c r="D776" s="19"/>
      <c r="E776" s="194"/>
      <c r="F776" s="329"/>
    </row>
    <row r="777" spans="1:7" ht="14.1" customHeight="1">
      <c r="A777" s="477" t="s">
        <v>142</v>
      </c>
      <c r="B777" s="613" t="str">
        <f>Presupuesto!B44</f>
        <v>Tablero principal y secundario</v>
      </c>
      <c r="C777" s="614"/>
      <c r="D777" s="615"/>
      <c r="E777" s="367" t="s">
        <v>143</v>
      </c>
      <c r="F777" s="30" t="str">
        <f>Presupuesto!C44</f>
        <v>Gl</v>
      </c>
      <c r="G777" s="1"/>
    </row>
    <row r="778" spans="1:7" ht="14.1" customHeight="1">
      <c r="A778" s="622" t="str">
        <f>Presupuesto!A44</f>
        <v>1.6.4</v>
      </c>
      <c r="B778" s="616"/>
      <c r="C778" s="617"/>
      <c r="D778" s="618"/>
      <c r="E778" s="367"/>
      <c r="F778" s="367"/>
      <c r="G778" s="1"/>
    </row>
    <row r="779" spans="1:7" ht="14.1" customHeight="1">
      <c r="A779" s="622"/>
      <c r="B779" s="616"/>
      <c r="C779" s="617"/>
      <c r="D779" s="618"/>
      <c r="E779" s="367"/>
      <c r="F779" s="367"/>
      <c r="G779" s="1"/>
    </row>
    <row r="780" spans="1:7" ht="14.1" customHeight="1">
      <c r="A780" s="623"/>
      <c r="B780" s="619"/>
      <c r="C780" s="620"/>
      <c r="D780" s="621"/>
      <c r="E780" s="367"/>
      <c r="F780" s="367"/>
      <c r="G780" s="1"/>
    </row>
    <row r="781" spans="1:7" ht="14.1" customHeight="1">
      <c r="A781" s="478"/>
      <c r="B781" s="29"/>
      <c r="C781" s="368"/>
      <c r="D781" s="368"/>
      <c r="E781" s="365"/>
      <c r="F781" s="365"/>
      <c r="G781" s="1"/>
    </row>
    <row r="782" spans="1:7" ht="14.1" customHeight="1">
      <c r="A782" s="624" t="s">
        <v>144</v>
      </c>
      <c r="B782" s="624"/>
      <c r="C782" s="624"/>
      <c r="D782" s="624"/>
      <c r="E782" s="624"/>
      <c r="F782" s="624"/>
      <c r="G782" s="1"/>
    </row>
    <row r="783" spans="1:7" ht="14.1" customHeight="1">
      <c r="A783" s="479"/>
      <c r="B783" s="10"/>
      <c r="C783" s="327"/>
      <c r="D783" s="327"/>
      <c r="E783" s="327"/>
      <c r="F783" s="327"/>
      <c r="G783" s="1"/>
    </row>
    <row r="784" spans="1:7" ht="15.95" customHeight="1">
      <c r="A784" s="480" t="s">
        <v>145</v>
      </c>
      <c r="B784" s="11" t="s">
        <v>146</v>
      </c>
      <c r="C784" s="11" t="s">
        <v>147</v>
      </c>
      <c r="D784" s="11" t="s">
        <v>148</v>
      </c>
      <c r="E784" s="12" t="s">
        <v>149</v>
      </c>
      <c r="F784" s="11" t="s">
        <v>150</v>
      </c>
      <c r="G784" s="1"/>
    </row>
    <row r="785" spans="1:7" ht="14.1" customHeight="1">
      <c r="A785" s="480">
        <v>1</v>
      </c>
      <c r="B785" s="331" t="s">
        <v>1153</v>
      </c>
      <c r="C785" s="332" t="s">
        <v>1026</v>
      </c>
      <c r="D785" s="14">
        <v>2</v>
      </c>
      <c r="E785" s="18">
        <v>1200</v>
      </c>
      <c r="F785" s="375">
        <f>ROUND(D785*E785, 2)</f>
        <v>2400</v>
      </c>
      <c r="G785" s="1"/>
    </row>
    <row r="786" spans="1:7" ht="14.1" customHeight="1">
      <c r="A786" s="480">
        <v>2</v>
      </c>
      <c r="B786" s="331" t="s">
        <v>1154</v>
      </c>
      <c r="C786" s="332" t="s">
        <v>433</v>
      </c>
      <c r="D786" s="14">
        <v>1</v>
      </c>
      <c r="E786" s="18">
        <f>'MAT 31-10-2013'!R179*2</f>
        <v>176.93899999999999</v>
      </c>
      <c r="F786" s="375">
        <f t="shared" ref="F786:F796" si="39">ROUND(D786*E786, 2)</f>
        <v>176.94</v>
      </c>
      <c r="G786" s="1"/>
    </row>
    <row r="787" spans="1:7" ht="14.1" customHeight="1">
      <c r="A787" s="480">
        <v>3</v>
      </c>
      <c r="B787" s="331" t="s">
        <v>1155</v>
      </c>
      <c r="C787" s="332" t="s">
        <v>433</v>
      </c>
      <c r="D787" s="14">
        <v>1</v>
      </c>
      <c r="E787" s="18">
        <f>'MAT 31-10-2013'!R180*2</f>
        <v>754.41666666666663</v>
      </c>
      <c r="F787" s="375">
        <f t="shared" si="39"/>
        <v>754.42</v>
      </c>
      <c r="G787" s="1"/>
    </row>
    <row r="788" spans="1:7" ht="14.1" customHeight="1">
      <c r="A788" s="480">
        <v>4</v>
      </c>
      <c r="B788" s="331" t="s">
        <v>1159</v>
      </c>
      <c r="C788" s="332" t="s">
        <v>433</v>
      </c>
      <c r="D788" s="14">
        <v>1</v>
      </c>
      <c r="E788" s="18">
        <f>'MAT 31-10-2013'!R184*2</f>
        <v>502.9444444444444</v>
      </c>
      <c r="F788" s="375">
        <f t="shared" si="39"/>
        <v>502.94</v>
      </c>
      <c r="G788" s="1"/>
    </row>
    <row r="789" spans="1:7" ht="14.1" customHeight="1">
      <c r="A789" s="480">
        <v>5</v>
      </c>
      <c r="B789" s="331" t="s">
        <v>1160</v>
      </c>
      <c r="C789" s="332" t="s">
        <v>1026</v>
      </c>
      <c r="D789" s="14">
        <v>1</v>
      </c>
      <c r="E789" s="18">
        <f>SUM(F785:F788)*0.3</f>
        <v>1150.29</v>
      </c>
      <c r="F789" s="375">
        <f t="shared" si="39"/>
        <v>1150.29</v>
      </c>
      <c r="G789" s="1"/>
    </row>
    <row r="790" spans="1:7" ht="14.1" customHeight="1">
      <c r="A790" s="480">
        <v>6</v>
      </c>
      <c r="B790" s="331" t="s">
        <v>1156</v>
      </c>
      <c r="C790" s="332" t="s">
        <v>1026</v>
      </c>
      <c r="D790" s="14">
        <v>1</v>
      </c>
      <c r="E790" s="18">
        <v>1800</v>
      </c>
      <c r="F790" s="375">
        <f t="shared" si="39"/>
        <v>1800</v>
      </c>
      <c r="G790" s="1"/>
    </row>
    <row r="791" spans="1:7" ht="14.1" customHeight="1">
      <c r="A791" s="480">
        <v>7</v>
      </c>
      <c r="B791" s="220" t="s">
        <v>1157</v>
      </c>
      <c r="C791" s="394" t="s">
        <v>1026</v>
      </c>
      <c r="D791" s="14">
        <v>1</v>
      </c>
      <c r="E791" s="18">
        <v>2350</v>
      </c>
      <c r="F791" s="375">
        <f t="shared" si="39"/>
        <v>2350</v>
      </c>
      <c r="G791" s="1"/>
    </row>
    <row r="792" spans="1:7" ht="14.1" customHeight="1">
      <c r="A792" s="480">
        <v>8</v>
      </c>
      <c r="B792" s="13" t="s">
        <v>1158</v>
      </c>
      <c r="C792" s="11" t="s">
        <v>1026</v>
      </c>
      <c r="D792" s="14">
        <v>1</v>
      </c>
      <c r="E792" s="18">
        <v>4320</v>
      </c>
      <c r="F792" s="375">
        <f t="shared" si="39"/>
        <v>4320</v>
      </c>
      <c r="G792" s="1"/>
    </row>
    <row r="793" spans="1:7" ht="14.1" customHeight="1">
      <c r="A793" s="480">
        <v>9</v>
      </c>
      <c r="B793" s="220"/>
      <c r="C793" s="324"/>
      <c r="D793" s="14"/>
      <c r="E793" s="18"/>
      <c r="F793" s="375">
        <f t="shared" si="39"/>
        <v>0</v>
      </c>
      <c r="G793" s="1"/>
    </row>
    <row r="794" spans="1:7" ht="14.1" customHeight="1">
      <c r="A794" s="480">
        <v>10</v>
      </c>
      <c r="B794" s="201"/>
      <c r="C794" s="11"/>
      <c r="D794" s="14"/>
      <c r="E794" s="18"/>
      <c r="F794" s="375">
        <f t="shared" si="39"/>
        <v>0</v>
      </c>
      <c r="G794" s="1"/>
    </row>
    <row r="795" spans="1:7" ht="14.1" customHeight="1">
      <c r="A795" s="480">
        <v>11</v>
      </c>
      <c r="B795" s="13"/>
      <c r="C795" s="11"/>
      <c r="D795" s="14"/>
      <c r="E795" s="18"/>
      <c r="F795" s="375">
        <f t="shared" si="39"/>
        <v>0</v>
      </c>
      <c r="G795" s="1"/>
    </row>
    <row r="796" spans="1:7" ht="14.1" customHeight="1" thickBot="1">
      <c r="A796" s="480">
        <v>12</v>
      </c>
      <c r="B796" s="13"/>
      <c r="C796" s="11"/>
      <c r="D796" s="11"/>
      <c r="E796" s="18"/>
      <c r="F796" s="375">
        <f t="shared" si="39"/>
        <v>0</v>
      </c>
      <c r="G796" s="1"/>
    </row>
    <row r="797" spans="1:7" ht="14.1" customHeight="1" thickBot="1">
      <c r="A797" s="481"/>
      <c r="B797" s="5"/>
      <c r="C797" s="367"/>
      <c r="D797" s="367"/>
      <c r="E797" s="367" t="s">
        <v>151</v>
      </c>
      <c r="F797" s="376">
        <f>SUM(F785:F796)</f>
        <v>13454.59</v>
      </c>
      <c r="G797" s="1"/>
    </row>
    <row r="798" spans="1:7" ht="14.1" customHeight="1">
      <c r="A798" s="482"/>
      <c r="B798" s="325"/>
      <c r="C798" s="328"/>
      <c r="D798" s="328"/>
      <c r="E798" s="328"/>
      <c r="F798" s="328"/>
      <c r="G798" s="1"/>
    </row>
    <row r="799" spans="1:7" ht="14.1" customHeight="1">
      <c r="A799" s="625" t="s">
        <v>152</v>
      </c>
      <c r="B799" s="625"/>
      <c r="C799" s="625"/>
      <c r="D799" s="625"/>
      <c r="E799" s="625"/>
      <c r="F799" s="625"/>
      <c r="G799" s="1"/>
    </row>
    <row r="800" spans="1:7" ht="14.1" customHeight="1">
      <c r="A800" s="482"/>
      <c r="B800" s="325"/>
      <c r="C800" s="328"/>
      <c r="D800" s="328"/>
      <c r="E800" s="328"/>
      <c r="F800" s="367"/>
      <c r="G800" s="1"/>
    </row>
    <row r="801" spans="1:7" ht="14.1" customHeight="1">
      <c r="A801" s="480">
        <v>13</v>
      </c>
      <c r="B801" s="17" t="s">
        <v>153</v>
      </c>
      <c r="C801" s="11" t="s">
        <v>154</v>
      </c>
      <c r="D801" s="330">
        <v>40</v>
      </c>
      <c r="E801" s="18">
        <f>'Mano de obra'!$J$20</f>
        <v>82.610000000000014</v>
      </c>
      <c r="F801" s="375">
        <f>ROUND(D801*E801, 2)</f>
        <v>3304.4</v>
      </c>
      <c r="G801" s="1"/>
    </row>
    <row r="802" spans="1:7" ht="14.1" customHeight="1">
      <c r="A802" s="480">
        <v>14</v>
      </c>
      <c r="B802" s="17" t="s">
        <v>155</v>
      </c>
      <c r="C802" s="11" t="s">
        <v>154</v>
      </c>
      <c r="D802" s="330">
        <v>0</v>
      </c>
      <c r="E802" s="18">
        <f>'Mano de obra'!$J$21</f>
        <v>70.38</v>
      </c>
      <c r="F802" s="375">
        <f t="shared" ref="F802:F805" si="40">ROUND(D802*E802, 2)</f>
        <v>0</v>
      </c>
      <c r="G802" s="1"/>
    </row>
    <row r="803" spans="1:7" ht="14.1" customHeight="1">
      <c r="A803" s="480">
        <v>15</v>
      </c>
      <c r="B803" s="17" t="s">
        <v>156</v>
      </c>
      <c r="C803" s="11" t="s">
        <v>154</v>
      </c>
      <c r="D803" s="330">
        <v>0</v>
      </c>
      <c r="E803" s="18">
        <f>'Mano de obra'!$J$22</f>
        <v>64.78</v>
      </c>
      <c r="F803" s="375">
        <f t="shared" si="40"/>
        <v>0</v>
      </c>
      <c r="G803" s="1"/>
    </row>
    <row r="804" spans="1:7" ht="14.1" customHeight="1">
      <c r="A804" s="480">
        <v>16</v>
      </c>
      <c r="B804" s="17" t="s">
        <v>157</v>
      </c>
      <c r="C804" s="11" t="s">
        <v>154</v>
      </c>
      <c r="D804" s="330">
        <v>40</v>
      </c>
      <c r="E804" s="18">
        <f>'Mano de obra'!$J$23</f>
        <v>59.800000000000004</v>
      </c>
      <c r="F804" s="375">
        <f t="shared" si="40"/>
        <v>2392</v>
      </c>
      <c r="G804" s="1"/>
    </row>
    <row r="805" spans="1:7" ht="14.1" customHeight="1" thickBot="1">
      <c r="A805" s="480">
        <v>17</v>
      </c>
      <c r="B805" s="13"/>
      <c r="C805" s="11"/>
      <c r="D805" s="11"/>
      <c r="E805" s="18"/>
      <c r="F805" s="375">
        <f t="shared" si="40"/>
        <v>0</v>
      </c>
      <c r="G805" s="1"/>
    </row>
    <row r="806" spans="1:7" ht="14.1" customHeight="1" thickBot="1">
      <c r="A806" s="483"/>
      <c r="B806" s="325"/>
      <c r="C806" s="328"/>
      <c r="D806" s="328"/>
      <c r="E806" s="367" t="s">
        <v>158</v>
      </c>
      <c r="F806" s="376">
        <f>SUM(F801:F805)</f>
        <v>5696.4</v>
      </c>
      <c r="G806" s="1"/>
    </row>
    <row r="807" spans="1:7" ht="14.1" customHeight="1" thickBot="1">
      <c r="A807" s="484"/>
      <c r="B807" s="325"/>
      <c r="C807" s="328"/>
      <c r="D807" s="328"/>
      <c r="E807" s="328"/>
      <c r="F807" s="367"/>
      <c r="G807" s="1"/>
    </row>
    <row r="808" spans="1:7" ht="14.1" customHeight="1" thickBot="1">
      <c r="A808" s="480"/>
      <c r="B808" s="142" t="s">
        <v>273</v>
      </c>
      <c r="C808" s="369"/>
      <c r="D808" s="369"/>
      <c r="E808" s="377" t="s">
        <v>159</v>
      </c>
      <c r="F808" s="376">
        <f>SUM(F797+F806)</f>
        <v>19150.989999999998</v>
      </c>
      <c r="G808" s="1"/>
    </row>
    <row r="809" spans="1:7" ht="15" customHeight="1">
      <c r="A809" s="626"/>
      <c r="B809" s="627" t="s">
        <v>274</v>
      </c>
      <c r="C809" s="628"/>
      <c r="D809" s="628"/>
      <c r="E809" s="629" t="s">
        <v>275</v>
      </c>
      <c r="F809" s="631">
        <f>ROUND(F808*'Coef. resumen'!$F$23, 2)</f>
        <v>28381.77</v>
      </c>
    </row>
    <row r="810" spans="1:7" ht="15" customHeight="1" thickBot="1">
      <c r="A810" s="626"/>
      <c r="B810" s="627"/>
      <c r="C810" s="628"/>
      <c r="D810" s="628"/>
      <c r="E810" s="630"/>
      <c r="F810" s="632"/>
    </row>
    <row r="811" spans="1:7" ht="15">
      <c r="A811" s="471"/>
      <c r="B811" s="2"/>
      <c r="C811" s="329"/>
      <c r="D811" s="329"/>
      <c r="E811" s="329"/>
      <c r="F811" s="329"/>
    </row>
    <row r="812" spans="1:7" ht="15">
      <c r="A812" s="471"/>
      <c r="B812" s="2"/>
      <c r="C812" s="329"/>
      <c r="D812" s="329"/>
      <c r="E812" s="329"/>
      <c r="F812" s="329"/>
    </row>
    <row r="813" spans="1:7" ht="15">
      <c r="A813" s="471"/>
      <c r="B813" s="194" t="str">
        <f>'Coef. resumen'!$B$30</f>
        <v>Julián Antonelli</v>
      </c>
      <c r="C813" s="524"/>
      <c r="D813" s="524"/>
      <c r="E813" s="194" t="str">
        <f>'Coef. resumen'!$E$30</f>
        <v>Marcelo A. Pasquini</v>
      </c>
      <c r="F813" s="329"/>
    </row>
    <row r="814" spans="1:7" ht="15">
      <c r="A814" s="471"/>
      <c r="B814" s="194" t="str">
        <f>'Coef. resumen'!$B$31</f>
        <v>Ing. Civil M.P. 2161</v>
      </c>
      <c r="C814" s="524"/>
      <c r="D814" s="524"/>
      <c r="E814" s="194" t="str">
        <f>'Coef. resumen'!$E$31</f>
        <v>Socio Gerente</v>
      </c>
      <c r="F814" s="329"/>
    </row>
    <row r="815" spans="1:7" ht="15">
      <c r="A815" s="471"/>
      <c r="B815" s="194" t="str">
        <f>'Coef. resumen'!$B$32</f>
        <v>Representante Técnico</v>
      </c>
      <c r="C815" s="524"/>
      <c r="D815" s="19"/>
      <c r="E815" s="194" t="str">
        <f>'Coef. resumen'!$E$32</f>
        <v>Pasquini Construcciones SRL</v>
      </c>
      <c r="F815" s="329"/>
    </row>
    <row r="816" spans="1:7" ht="15">
      <c r="A816" s="471"/>
      <c r="B816" s="194"/>
      <c r="C816" s="329"/>
      <c r="D816" s="19"/>
      <c r="E816" s="194"/>
      <c r="F816" s="329"/>
    </row>
    <row r="817" spans="1:7" ht="14.1" customHeight="1">
      <c r="A817" s="477" t="s">
        <v>142</v>
      </c>
      <c r="B817" s="613" t="str">
        <f>Presupuesto!B45</f>
        <v>Cisterna de polietileno de 3000 lts apta para cloro líquido</v>
      </c>
      <c r="C817" s="614"/>
      <c r="D817" s="615"/>
      <c r="E817" s="367" t="s">
        <v>143</v>
      </c>
      <c r="F817" s="30" t="str">
        <f>Presupuesto!C45</f>
        <v>un</v>
      </c>
      <c r="G817" s="1"/>
    </row>
    <row r="818" spans="1:7" ht="14.1" customHeight="1">
      <c r="A818" s="622" t="str">
        <f>Presupuesto!A45</f>
        <v>1.6.5</v>
      </c>
      <c r="B818" s="616"/>
      <c r="C818" s="617"/>
      <c r="D818" s="618"/>
      <c r="E818" s="367"/>
      <c r="F818" s="367"/>
      <c r="G818" s="1"/>
    </row>
    <row r="819" spans="1:7" ht="14.1" customHeight="1">
      <c r="A819" s="622"/>
      <c r="B819" s="616"/>
      <c r="C819" s="617"/>
      <c r="D819" s="618"/>
      <c r="E819" s="367"/>
      <c r="F819" s="367"/>
      <c r="G819" s="1"/>
    </row>
    <row r="820" spans="1:7" ht="14.1" customHeight="1">
      <c r="A820" s="623"/>
      <c r="B820" s="619"/>
      <c r="C820" s="620"/>
      <c r="D820" s="621"/>
      <c r="E820" s="367"/>
      <c r="F820" s="367"/>
      <c r="G820" s="1"/>
    </row>
    <row r="821" spans="1:7" ht="14.1" customHeight="1">
      <c r="A821" s="478"/>
      <c r="B821" s="29"/>
      <c r="C821" s="368"/>
      <c r="D821" s="368"/>
      <c r="E821" s="365"/>
      <c r="F821" s="365"/>
      <c r="G821" s="1"/>
    </row>
    <row r="822" spans="1:7" ht="14.1" customHeight="1">
      <c r="A822" s="624" t="s">
        <v>144</v>
      </c>
      <c r="B822" s="624"/>
      <c r="C822" s="624"/>
      <c r="D822" s="624"/>
      <c r="E822" s="624"/>
      <c r="F822" s="624"/>
      <c r="G822" s="1"/>
    </row>
    <row r="823" spans="1:7" ht="14.1" customHeight="1">
      <c r="A823" s="479"/>
      <c r="B823" s="10"/>
      <c r="C823" s="327"/>
      <c r="D823" s="327"/>
      <c r="E823" s="327"/>
      <c r="F823" s="327"/>
      <c r="G823" s="1"/>
    </row>
    <row r="824" spans="1:7" ht="15.95" customHeight="1">
      <c r="A824" s="480" t="s">
        <v>145</v>
      </c>
      <c r="B824" s="11" t="s">
        <v>146</v>
      </c>
      <c r="C824" s="11" t="s">
        <v>147</v>
      </c>
      <c r="D824" s="11" t="s">
        <v>148</v>
      </c>
      <c r="E824" s="12" t="s">
        <v>149</v>
      </c>
      <c r="F824" s="11" t="s">
        <v>150</v>
      </c>
      <c r="G824" s="1"/>
    </row>
    <row r="825" spans="1:7" ht="14.1" customHeight="1">
      <c r="A825" s="480">
        <v>1</v>
      </c>
      <c r="B825" s="331" t="s">
        <v>1162</v>
      </c>
      <c r="C825" s="332" t="s">
        <v>433</v>
      </c>
      <c r="D825" s="14">
        <v>1</v>
      </c>
      <c r="E825" s="18">
        <f>'MAT 31-10-2013'!R234</f>
        <v>7828.125</v>
      </c>
      <c r="F825" s="375">
        <f>ROUND(D825*E825, 2)</f>
        <v>7828.13</v>
      </c>
      <c r="G825" s="1"/>
    </row>
    <row r="826" spans="1:7" ht="14.1" customHeight="1">
      <c r="A826" s="480">
        <v>2</v>
      </c>
      <c r="B826" s="331" t="s">
        <v>1163</v>
      </c>
      <c r="C826" s="332" t="s">
        <v>1026</v>
      </c>
      <c r="D826" s="14">
        <v>1</v>
      </c>
      <c r="E826" s="18">
        <f>0.3*F825</f>
        <v>2348.4389999999999</v>
      </c>
      <c r="F826" s="375">
        <f t="shared" ref="F826:F836" si="41">ROUND(D826*E826, 2)</f>
        <v>2348.44</v>
      </c>
      <c r="G826" s="1"/>
    </row>
    <row r="827" spans="1:7" ht="14.1" customHeight="1">
      <c r="A827" s="480">
        <v>3</v>
      </c>
      <c r="B827" s="331" t="s">
        <v>1164</v>
      </c>
      <c r="C827" s="332" t="s">
        <v>325</v>
      </c>
      <c r="D827" s="14">
        <v>4</v>
      </c>
      <c r="E827" s="18">
        <f>Equipos!S35</f>
        <v>193.33264462809916</v>
      </c>
      <c r="F827" s="375">
        <f t="shared" si="41"/>
        <v>773.33</v>
      </c>
      <c r="G827" s="1"/>
    </row>
    <row r="828" spans="1:7" ht="14.1" customHeight="1">
      <c r="A828" s="480">
        <v>4</v>
      </c>
      <c r="B828" s="331"/>
      <c r="C828" s="332"/>
      <c r="D828" s="14"/>
      <c r="E828" s="18"/>
      <c r="F828" s="375">
        <f t="shared" si="41"/>
        <v>0</v>
      </c>
      <c r="G828" s="1"/>
    </row>
    <row r="829" spans="1:7" ht="14.1" customHeight="1">
      <c r="A829" s="480">
        <v>5</v>
      </c>
      <c r="B829" s="331"/>
      <c r="C829" s="332"/>
      <c r="D829" s="14"/>
      <c r="E829" s="18"/>
      <c r="F829" s="375">
        <f t="shared" si="41"/>
        <v>0</v>
      </c>
      <c r="G829" s="1"/>
    </row>
    <row r="830" spans="1:7" ht="14.1" customHeight="1">
      <c r="A830" s="480">
        <v>6</v>
      </c>
      <c r="B830" s="331"/>
      <c r="C830" s="332"/>
      <c r="D830" s="14"/>
      <c r="E830" s="18"/>
      <c r="F830" s="375">
        <f t="shared" si="41"/>
        <v>0</v>
      </c>
      <c r="G830" s="1"/>
    </row>
    <row r="831" spans="1:7" ht="14.1" customHeight="1">
      <c r="A831" s="480">
        <v>7</v>
      </c>
      <c r="B831" s="220"/>
      <c r="C831" s="324"/>
      <c r="D831" s="14"/>
      <c r="E831" s="18"/>
      <c r="F831" s="375">
        <f t="shared" si="41"/>
        <v>0</v>
      </c>
      <c r="G831" s="1"/>
    </row>
    <row r="832" spans="1:7" ht="14.1" customHeight="1">
      <c r="A832" s="480">
        <v>8</v>
      </c>
      <c r="B832" s="13"/>
      <c r="C832" s="11"/>
      <c r="D832" s="14"/>
      <c r="E832" s="18"/>
      <c r="F832" s="375">
        <f t="shared" si="41"/>
        <v>0</v>
      </c>
      <c r="G832" s="1"/>
    </row>
    <row r="833" spans="1:7" ht="14.1" customHeight="1">
      <c r="A833" s="480">
        <v>9</v>
      </c>
      <c r="B833" s="220"/>
      <c r="C833" s="324"/>
      <c r="D833" s="14"/>
      <c r="E833" s="18"/>
      <c r="F833" s="375">
        <f t="shared" si="41"/>
        <v>0</v>
      </c>
      <c r="G833" s="1"/>
    </row>
    <row r="834" spans="1:7" ht="14.1" customHeight="1">
      <c r="A834" s="480">
        <v>10</v>
      </c>
      <c r="B834" s="201"/>
      <c r="C834" s="11"/>
      <c r="D834" s="14"/>
      <c r="E834" s="18"/>
      <c r="F834" s="375">
        <f t="shared" si="41"/>
        <v>0</v>
      </c>
      <c r="G834" s="1"/>
    </row>
    <row r="835" spans="1:7" ht="14.1" customHeight="1">
      <c r="A835" s="480">
        <v>11</v>
      </c>
      <c r="B835" s="13"/>
      <c r="C835" s="11"/>
      <c r="D835" s="14"/>
      <c r="E835" s="18"/>
      <c r="F835" s="375">
        <f t="shared" si="41"/>
        <v>0</v>
      </c>
      <c r="G835" s="1"/>
    </row>
    <row r="836" spans="1:7" ht="14.1" customHeight="1" thickBot="1">
      <c r="A836" s="480">
        <v>12</v>
      </c>
      <c r="B836" s="13"/>
      <c r="C836" s="11"/>
      <c r="D836" s="11"/>
      <c r="E836" s="18"/>
      <c r="F836" s="375">
        <f t="shared" si="41"/>
        <v>0</v>
      </c>
      <c r="G836" s="1"/>
    </row>
    <row r="837" spans="1:7" ht="14.1" customHeight="1" thickBot="1">
      <c r="A837" s="481"/>
      <c r="B837" s="5"/>
      <c r="C837" s="367"/>
      <c r="D837" s="367"/>
      <c r="E837" s="367" t="s">
        <v>151</v>
      </c>
      <c r="F837" s="376">
        <f>SUM(F825:F836)</f>
        <v>10949.9</v>
      </c>
      <c r="G837" s="1"/>
    </row>
    <row r="838" spans="1:7" ht="14.1" customHeight="1">
      <c r="A838" s="482"/>
      <c r="B838" s="325"/>
      <c r="C838" s="328"/>
      <c r="D838" s="328"/>
      <c r="E838" s="328"/>
      <c r="F838" s="328"/>
      <c r="G838" s="1"/>
    </row>
    <row r="839" spans="1:7" ht="14.1" customHeight="1">
      <c r="A839" s="625" t="s">
        <v>152</v>
      </c>
      <c r="B839" s="625"/>
      <c r="C839" s="625"/>
      <c r="D839" s="625"/>
      <c r="E839" s="625"/>
      <c r="F839" s="625"/>
      <c r="G839" s="1"/>
    </row>
    <row r="840" spans="1:7" ht="14.1" customHeight="1">
      <c r="A840" s="482"/>
      <c r="B840" s="325"/>
      <c r="C840" s="328"/>
      <c r="D840" s="328"/>
      <c r="E840" s="328"/>
      <c r="F840" s="367"/>
      <c r="G840" s="1"/>
    </row>
    <row r="841" spans="1:7" ht="14.1" customHeight="1">
      <c r="A841" s="480">
        <v>13</v>
      </c>
      <c r="B841" s="17" t="s">
        <v>153</v>
      </c>
      <c r="C841" s="11" t="s">
        <v>154</v>
      </c>
      <c r="D841" s="382">
        <f>D827</f>
        <v>4</v>
      </c>
      <c r="E841" s="18">
        <f>'Mano de obra'!$J$20</f>
        <v>82.610000000000014</v>
      </c>
      <c r="F841" s="375">
        <f>ROUND(D841*E841, 2)</f>
        <v>330.44</v>
      </c>
      <c r="G841" s="1"/>
    </row>
    <row r="842" spans="1:7" ht="14.1" customHeight="1">
      <c r="A842" s="480">
        <v>14</v>
      </c>
      <c r="B842" s="17" t="s">
        <v>155</v>
      </c>
      <c r="C842" s="11" t="s">
        <v>154</v>
      </c>
      <c r="D842" s="330">
        <v>16</v>
      </c>
      <c r="E842" s="18">
        <f>'Mano de obra'!$J$21</f>
        <v>70.38</v>
      </c>
      <c r="F842" s="375">
        <f t="shared" ref="F842:F845" si="42">ROUND(D842*E842, 2)</f>
        <v>1126.08</v>
      </c>
      <c r="G842" s="1"/>
    </row>
    <row r="843" spans="1:7" ht="14.1" customHeight="1">
      <c r="A843" s="480">
        <v>15</v>
      </c>
      <c r="B843" s="17" t="s">
        <v>156</v>
      </c>
      <c r="C843" s="11" t="s">
        <v>154</v>
      </c>
      <c r="D843" s="330">
        <v>0</v>
      </c>
      <c r="E843" s="18">
        <f>'Mano de obra'!$J$22</f>
        <v>64.78</v>
      </c>
      <c r="F843" s="375">
        <f t="shared" si="42"/>
        <v>0</v>
      </c>
      <c r="G843" s="1"/>
    </row>
    <row r="844" spans="1:7" ht="14.1" customHeight="1">
      <c r="A844" s="480">
        <v>16</v>
      </c>
      <c r="B844" s="17" t="s">
        <v>157</v>
      </c>
      <c r="C844" s="11" t="s">
        <v>154</v>
      </c>
      <c r="D844" s="330">
        <v>32</v>
      </c>
      <c r="E844" s="18">
        <f>'Mano de obra'!$J$23</f>
        <v>59.800000000000004</v>
      </c>
      <c r="F844" s="375">
        <f t="shared" si="42"/>
        <v>1913.6</v>
      </c>
      <c r="G844" s="1"/>
    </row>
    <row r="845" spans="1:7" ht="14.1" customHeight="1" thickBot="1">
      <c r="A845" s="480">
        <v>17</v>
      </c>
      <c r="B845" s="13"/>
      <c r="C845" s="11"/>
      <c r="D845" s="11"/>
      <c r="E845" s="18"/>
      <c r="F845" s="375">
        <f t="shared" si="42"/>
        <v>0</v>
      </c>
      <c r="G845" s="1"/>
    </row>
    <row r="846" spans="1:7" ht="14.1" customHeight="1" thickBot="1">
      <c r="A846" s="483"/>
      <c r="B846" s="325"/>
      <c r="C846" s="328"/>
      <c r="D846" s="328"/>
      <c r="E846" s="367" t="s">
        <v>158</v>
      </c>
      <c r="F846" s="376">
        <f>SUM(F841:F845)</f>
        <v>3370.12</v>
      </c>
      <c r="G846" s="1"/>
    </row>
    <row r="847" spans="1:7" ht="14.1" customHeight="1" thickBot="1">
      <c r="A847" s="484"/>
      <c r="B847" s="325"/>
      <c r="C847" s="328"/>
      <c r="D847" s="328"/>
      <c r="E847" s="328"/>
      <c r="F847" s="367"/>
      <c r="G847" s="1"/>
    </row>
    <row r="848" spans="1:7" ht="14.1" customHeight="1" thickBot="1">
      <c r="A848" s="480"/>
      <c r="B848" s="142" t="s">
        <v>273</v>
      </c>
      <c r="C848" s="369"/>
      <c r="D848" s="369"/>
      <c r="E848" s="377" t="s">
        <v>159</v>
      </c>
      <c r="F848" s="376">
        <f>SUM(F837+F846)</f>
        <v>14320.02</v>
      </c>
      <c r="G848" s="1"/>
    </row>
    <row r="849" spans="1:7" ht="15" customHeight="1">
      <c r="A849" s="626"/>
      <c r="B849" s="627" t="s">
        <v>274</v>
      </c>
      <c r="C849" s="628"/>
      <c r="D849" s="628"/>
      <c r="E849" s="629" t="s">
        <v>275</v>
      </c>
      <c r="F849" s="631">
        <f>ROUND(F848*'Coef. resumen'!$F$23, 2)</f>
        <v>21222.27</v>
      </c>
    </row>
    <row r="850" spans="1:7" ht="15" customHeight="1" thickBot="1">
      <c r="A850" s="626"/>
      <c r="B850" s="627"/>
      <c r="C850" s="628"/>
      <c r="D850" s="628"/>
      <c r="E850" s="630"/>
      <c r="F850" s="632"/>
    </row>
    <row r="851" spans="1:7" ht="15">
      <c r="A851" s="471"/>
      <c r="B851" s="2"/>
      <c r="C851" s="329"/>
      <c r="D851" s="329"/>
      <c r="E851" s="329"/>
      <c r="F851" s="329"/>
    </row>
    <row r="852" spans="1:7" ht="15">
      <c r="A852" s="471"/>
      <c r="B852" s="2"/>
      <c r="C852" s="329"/>
      <c r="D852" s="329"/>
      <c r="E852" s="329"/>
      <c r="F852" s="329"/>
    </row>
    <row r="853" spans="1:7" ht="15">
      <c r="A853" s="471"/>
      <c r="B853" s="194" t="str">
        <f>'Coef. resumen'!$B$30</f>
        <v>Julián Antonelli</v>
      </c>
      <c r="C853" s="524"/>
      <c r="D853" s="524"/>
      <c r="E853" s="194" t="str">
        <f>'Coef. resumen'!$E$30</f>
        <v>Marcelo A. Pasquini</v>
      </c>
      <c r="F853" s="329"/>
    </row>
    <row r="854" spans="1:7" ht="15">
      <c r="A854" s="471"/>
      <c r="B854" s="194" t="str">
        <f>'Coef. resumen'!$B$31</f>
        <v>Ing. Civil M.P. 2161</v>
      </c>
      <c r="C854" s="524"/>
      <c r="D854" s="524"/>
      <c r="E854" s="194" t="str">
        <f>'Coef. resumen'!$E$31</f>
        <v>Socio Gerente</v>
      </c>
      <c r="F854" s="329"/>
    </row>
    <row r="855" spans="1:7" ht="15">
      <c r="A855" s="471"/>
      <c r="B855" s="194" t="str">
        <f>'Coef. resumen'!$B$32</f>
        <v>Representante Técnico</v>
      </c>
      <c r="C855" s="524"/>
      <c r="D855" s="19"/>
      <c r="E855" s="194" t="str">
        <f>'Coef. resumen'!$E$32</f>
        <v>Pasquini Construcciones SRL</v>
      </c>
      <c r="F855" s="329"/>
    </row>
    <row r="856" spans="1:7" ht="15">
      <c r="A856" s="471"/>
      <c r="B856" s="194"/>
      <c r="C856" s="329"/>
      <c r="D856" s="19"/>
      <c r="E856" s="194"/>
      <c r="F856" s="329"/>
    </row>
    <row r="857" spans="1:7" ht="14.1" customHeight="1">
      <c r="A857" s="477" t="s">
        <v>142</v>
      </c>
      <c r="B857" s="613" t="str">
        <f>Presupuesto!B46</f>
        <v>Dosificadores de cloro liquido con control por caudal</v>
      </c>
      <c r="C857" s="614"/>
      <c r="D857" s="615"/>
      <c r="E857" s="367" t="s">
        <v>143</v>
      </c>
      <c r="F857" s="30" t="str">
        <f>Presupuesto!C46</f>
        <v>un</v>
      </c>
      <c r="G857" s="1"/>
    </row>
    <row r="858" spans="1:7" ht="14.1" customHeight="1">
      <c r="A858" s="622" t="str">
        <f>Presupuesto!A46</f>
        <v>1.6.6</v>
      </c>
      <c r="B858" s="616"/>
      <c r="C858" s="617"/>
      <c r="D858" s="618"/>
      <c r="E858" s="367"/>
      <c r="F858" s="367"/>
      <c r="G858" s="1"/>
    </row>
    <row r="859" spans="1:7" ht="14.1" customHeight="1">
      <c r="A859" s="622"/>
      <c r="B859" s="616"/>
      <c r="C859" s="617"/>
      <c r="D859" s="618"/>
      <c r="E859" s="367"/>
      <c r="F859" s="367"/>
      <c r="G859" s="1"/>
    </row>
    <row r="860" spans="1:7" ht="14.1" customHeight="1">
      <c r="A860" s="623"/>
      <c r="B860" s="619"/>
      <c r="C860" s="620"/>
      <c r="D860" s="621"/>
      <c r="E860" s="367"/>
      <c r="F860" s="367"/>
      <c r="G860" s="1"/>
    </row>
    <row r="861" spans="1:7" ht="14.1" customHeight="1">
      <c r="A861" s="478"/>
      <c r="B861" s="29"/>
      <c r="C861" s="368"/>
      <c r="D861" s="368"/>
      <c r="E861" s="365"/>
      <c r="F861" s="365"/>
      <c r="G861" s="1"/>
    </row>
    <row r="862" spans="1:7" ht="14.1" customHeight="1">
      <c r="A862" s="624" t="s">
        <v>144</v>
      </c>
      <c r="B862" s="624"/>
      <c r="C862" s="624"/>
      <c r="D862" s="624"/>
      <c r="E862" s="624"/>
      <c r="F862" s="624"/>
      <c r="G862" s="1"/>
    </row>
    <row r="863" spans="1:7" ht="14.1" customHeight="1">
      <c r="A863" s="479"/>
      <c r="B863" s="10"/>
      <c r="C863" s="327"/>
      <c r="D863" s="327"/>
      <c r="E863" s="327"/>
      <c r="F863" s="327"/>
      <c r="G863" s="1"/>
    </row>
    <row r="864" spans="1:7" ht="15.95" customHeight="1">
      <c r="A864" s="480" t="s">
        <v>145</v>
      </c>
      <c r="B864" s="11" t="s">
        <v>146</v>
      </c>
      <c r="C864" s="11" t="s">
        <v>147</v>
      </c>
      <c r="D864" s="11" t="s">
        <v>148</v>
      </c>
      <c r="E864" s="12" t="s">
        <v>149</v>
      </c>
      <c r="F864" s="11" t="s">
        <v>150</v>
      </c>
      <c r="G864" s="1"/>
    </row>
    <row r="865" spans="1:7" ht="14.1" customHeight="1">
      <c r="A865" s="480">
        <v>1</v>
      </c>
      <c r="B865" s="331" t="s">
        <v>1165</v>
      </c>
      <c r="C865" s="332" t="s">
        <v>1026</v>
      </c>
      <c r="D865" s="14">
        <v>1</v>
      </c>
      <c r="E865" s="18">
        <v>4500</v>
      </c>
      <c r="F865" s="375">
        <f>ROUND(D865*E865, 2)</f>
        <v>4500</v>
      </c>
      <c r="G865" s="1"/>
    </row>
    <row r="866" spans="1:7" ht="14.1" customHeight="1">
      <c r="A866" s="480">
        <v>2</v>
      </c>
      <c r="B866" s="331" t="s">
        <v>1166</v>
      </c>
      <c r="C866" s="332" t="s">
        <v>1026</v>
      </c>
      <c r="D866" s="14">
        <v>1</v>
      </c>
      <c r="E866" s="18">
        <f>F865*0.2</f>
        <v>900</v>
      </c>
      <c r="F866" s="375">
        <f t="shared" ref="F866:F876" si="43">ROUND(D866*E866, 2)</f>
        <v>900</v>
      </c>
      <c r="G866" s="1"/>
    </row>
    <row r="867" spans="1:7" ht="14.1" customHeight="1">
      <c r="A867" s="480">
        <v>3</v>
      </c>
      <c r="B867" s="331" t="s">
        <v>1167</v>
      </c>
      <c r="C867" s="332" t="s">
        <v>1026</v>
      </c>
      <c r="D867" s="14">
        <v>1</v>
      </c>
      <c r="E867" s="18">
        <f>F865*0.15</f>
        <v>675</v>
      </c>
      <c r="F867" s="375">
        <f t="shared" si="43"/>
        <v>675</v>
      </c>
      <c r="G867" s="1"/>
    </row>
    <row r="868" spans="1:7" ht="14.1" customHeight="1">
      <c r="A868" s="480">
        <v>4</v>
      </c>
      <c r="B868" s="331"/>
      <c r="C868" s="332"/>
      <c r="D868" s="14"/>
      <c r="E868" s="18"/>
      <c r="F868" s="375">
        <f t="shared" si="43"/>
        <v>0</v>
      </c>
      <c r="G868" s="1"/>
    </row>
    <row r="869" spans="1:7" ht="14.1" customHeight="1">
      <c r="A869" s="480">
        <v>5</v>
      </c>
      <c r="B869" s="331"/>
      <c r="C869" s="332"/>
      <c r="D869" s="14"/>
      <c r="E869" s="18"/>
      <c r="F869" s="375">
        <f t="shared" si="43"/>
        <v>0</v>
      </c>
      <c r="G869" s="1"/>
    </row>
    <row r="870" spans="1:7" ht="14.1" customHeight="1">
      <c r="A870" s="480">
        <v>6</v>
      </c>
      <c r="B870" s="331"/>
      <c r="C870" s="332"/>
      <c r="D870" s="14"/>
      <c r="E870" s="18"/>
      <c r="F870" s="375">
        <f t="shared" si="43"/>
        <v>0</v>
      </c>
      <c r="G870" s="1"/>
    </row>
    <row r="871" spans="1:7" ht="14.1" customHeight="1">
      <c r="A871" s="480">
        <v>7</v>
      </c>
      <c r="B871" s="220"/>
      <c r="C871" s="324"/>
      <c r="D871" s="14"/>
      <c r="E871" s="18"/>
      <c r="F871" s="375">
        <f t="shared" si="43"/>
        <v>0</v>
      </c>
      <c r="G871" s="1"/>
    </row>
    <row r="872" spans="1:7" ht="14.1" customHeight="1">
      <c r="A872" s="480">
        <v>8</v>
      </c>
      <c r="B872" s="13"/>
      <c r="C872" s="11"/>
      <c r="D872" s="14"/>
      <c r="E872" s="18"/>
      <c r="F872" s="375">
        <f t="shared" si="43"/>
        <v>0</v>
      </c>
      <c r="G872" s="1"/>
    </row>
    <row r="873" spans="1:7" ht="14.1" customHeight="1">
      <c r="A873" s="480">
        <v>9</v>
      </c>
      <c r="B873" s="220"/>
      <c r="C873" s="324"/>
      <c r="D873" s="14"/>
      <c r="E873" s="18"/>
      <c r="F873" s="375">
        <f t="shared" si="43"/>
        <v>0</v>
      </c>
      <c r="G873" s="1"/>
    </row>
    <row r="874" spans="1:7" ht="14.1" customHeight="1">
      <c r="A874" s="480">
        <v>10</v>
      </c>
      <c r="B874" s="201"/>
      <c r="C874" s="11"/>
      <c r="D874" s="14"/>
      <c r="E874" s="18"/>
      <c r="F874" s="375">
        <f t="shared" si="43"/>
        <v>0</v>
      </c>
      <c r="G874" s="1"/>
    </row>
    <row r="875" spans="1:7" ht="14.1" customHeight="1">
      <c r="A875" s="480">
        <v>11</v>
      </c>
      <c r="B875" s="13"/>
      <c r="C875" s="11"/>
      <c r="D875" s="14"/>
      <c r="E875" s="18"/>
      <c r="F875" s="375">
        <f t="shared" si="43"/>
        <v>0</v>
      </c>
      <c r="G875" s="1"/>
    </row>
    <row r="876" spans="1:7" ht="14.1" customHeight="1" thickBot="1">
      <c r="A876" s="480">
        <v>12</v>
      </c>
      <c r="B876" s="13"/>
      <c r="C876" s="11"/>
      <c r="D876" s="11"/>
      <c r="E876" s="18"/>
      <c r="F876" s="375">
        <f t="shared" si="43"/>
        <v>0</v>
      </c>
      <c r="G876" s="1"/>
    </row>
    <row r="877" spans="1:7" ht="14.1" customHeight="1" thickBot="1">
      <c r="A877" s="481"/>
      <c r="B877" s="5"/>
      <c r="C877" s="367"/>
      <c r="D877" s="367"/>
      <c r="E877" s="367" t="s">
        <v>151</v>
      </c>
      <c r="F877" s="376">
        <f>SUM(F865:F876)</f>
        <v>6075</v>
      </c>
      <c r="G877" s="1"/>
    </row>
    <row r="878" spans="1:7" ht="14.1" customHeight="1">
      <c r="A878" s="482"/>
      <c r="B878" s="325"/>
      <c r="C878" s="328"/>
      <c r="D878" s="328"/>
      <c r="E878" s="328"/>
      <c r="F878" s="328"/>
      <c r="G878" s="1"/>
    </row>
    <row r="879" spans="1:7" ht="14.1" customHeight="1">
      <c r="A879" s="625" t="s">
        <v>152</v>
      </c>
      <c r="B879" s="625"/>
      <c r="C879" s="625"/>
      <c r="D879" s="625"/>
      <c r="E879" s="625"/>
      <c r="F879" s="625"/>
      <c r="G879" s="1"/>
    </row>
    <row r="880" spans="1:7" ht="14.1" customHeight="1">
      <c r="A880" s="482"/>
      <c r="B880" s="325"/>
      <c r="C880" s="328"/>
      <c r="D880" s="328"/>
      <c r="E880" s="328"/>
      <c r="F880" s="367"/>
      <c r="G880" s="1"/>
    </row>
    <row r="881" spans="1:7" ht="14.1" customHeight="1">
      <c r="A881" s="480">
        <v>13</v>
      </c>
      <c r="B881" s="17" t="s">
        <v>153</v>
      </c>
      <c r="C881" s="11" t="s">
        <v>154</v>
      </c>
      <c r="D881" s="330">
        <v>8</v>
      </c>
      <c r="E881" s="18">
        <f>'Mano de obra'!$J$20</f>
        <v>82.610000000000014</v>
      </c>
      <c r="F881" s="375">
        <f>ROUND(D881*E881, 2)</f>
        <v>660.88</v>
      </c>
      <c r="G881" s="1"/>
    </row>
    <row r="882" spans="1:7" ht="14.1" customHeight="1">
      <c r="A882" s="480">
        <v>14</v>
      </c>
      <c r="B882" s="17" t="s">
        <v>155</v>
      </c>
      <c r="C882" s="11" t="s">
        <v>154</v>
      </c>
      <c r="D882" s="330">
        <v>8</v>
      </c>
      <c r="E882" s="18">
        <f>'Mano de obra'!$J$21</f>
        <v>70.38</v>
      </c>
      <c r="F882" s="375">
        <f t="shared" ref="F882:F885" si="44">ROUND(D882*E882, 2)</f>
        <v>563.04</v>
      </c>
      <c r="G882" s="1"/>
    </row>
    <row r="883" spans="1:7" ht="14.1" customHeight="1">
      <c r="A883" s="480">
        <v>15</v>
      </c>
      <c r="B883" s="17" t="s">
        <v>156</v>
      </c>
      <c r="C883" s="11" t="s">
        <v>154</v>
      </c>
      <c r="D883" s="330">
        <v>0</v>
      </c>
      <c r="E883" s="18">
        <f>'Mano de obra'!$J$22</f>
        <v>64.78</v>
      </c>
      <c r="F883" s="375">
        <f t="shared" si="44"/>
        <v>0</v>
      </c>
      <c r="G883" s="1"/>
    </row>
    <row r="884" spans="1:7" ht="14.1" customHeight="1">
      <c r="A884" s="480">
        <v>16</v>
      </c>
      <c r="B884" s="17" t="s">
        <v>157</v>
      </c>
      <c r="C884" s="11" t="s">
        <v>154</v>
      </c>
      <c r="D884" s="330">
        <v>16</v>
      </c>
      <c r="E884" s="18">
        <f>'Mano de obra'!$J$23</f>
        <v>59.800000000000004</v>
      </c>
      <c r="F884" s="375">
        <f t="shared" si="44"/>
        <v>956.8</v>
      </c>
      <c r="G884" s="1"/>
    </row>
    <row r="885" spans="1:7" ht="14.1" customHeight="1" thickBot="1">
      <c r="A885" s="480">
        <v>17</v>
      </c>
      <c r="B885" s="13"/>
      <c r="C885" s="11"/>
      <c r="D885" s="11"/>
      <c r="E885" s="18"/>
      <c r="F885" s="375">
        <f t="shared" si="44"/>
        <v>0</v>
      </c>
      <c r="G885" s="1"/>
    </row>
    <row r="886" spans="1:7" ht="14.1" customHeight="1" thickBot="1">
      <c r="A886" s="483"/>
      <c r="B886" s="325"/>
      <c r="C886" s="328"/>
      <c r="D886" s="328"/>
      <c r="E886" s="367" t="s">
        <v>158</v>
      </c>
      <c r="F886" s="376">
        <f>SUM(F881:F885)</f>
        <v>2180.7200000000003</v>
      </c>
      <c r="G886" s="1"/>
    </row>
    <row r="887" spans="1:7" ht="14.1" customHeight="1" thickBot="1">
      <c r="A887" s="484"/>
      <c r="B887" s="325"/>
      <c r="C887" s="328"/>
      <c r="D887" s="328"/>
      <c r="E887" s="328"/>
      <c r="F887" s="367"/>
      <c r="G887" s="1"/>
    </row>
    <row r="888" spans="1:7" ht="14.1" customHeight="1" thickBot="1">
      <c r="A888" s="480"/>
      <c r="B888" s="142" t="s">
        <v>273</v>
      </c>
      <c r="C888" s="369"/>
      <c r="D888" s="369"/>
      <c r="E888" s="377" t="s">
        <v>159</v>
      </c>
      <c r="F888" s="376">
        <f>SUM(F877+F886)</f>
        <v>8255.7200000000012</v>
      </c>
      <c r="G888" s="1"/>
    </row>
    <row r="889" spans="1:7" ht="15" customHeight="1">
      <c r="A889" s="626"/>
      <c r="B889" s="627" t="s">
        <v>274</v>
      </c>
      <c r="C889" s="628"/>
      <c r="D889" s="628"/>
      <c r="E889" s="629" t="s">
        <v>275</v>
      </c>
      <c r="F889" s="631">
        <f>ROUND(F888*'Coef. resumen'!$F$23, 2)</f>
        <v>12234.98</v>
      </c>
    </row>
    <row r="890" spans="1:7" ht="15" customHeight="1" thickBot="1">
      <c r="A890" s="626"/>
      <c r="B890" s="627"/>
      <c r="C890" s="628"/>
      <c r="D890" s="628"/>
      <c r="E890" s="630"/>
      <c r="F890" s="632"/>
    </row>
    <row r="891" spans="1:7" ht="15">
      <c r="A891" s="471"/>
      <c r="B891" s="2"/>
      <c r="C891" s="329"/>
      <c r="D891" s="329"/>
      <c r="E891" s="329"/>
      <c r="F891" s="329"/>
    </row>
    <row r="892" spans="1:7" ht="15">
      <c r="A892" s="471"/>
      <c r="B892" s="2"/>
      <c r="C892" s="329"/>
      <c r="D892" s="329"/>
      <c r="E892" s="329"/>
      <c r="F892" s="329"/>
    </row>
    <row r="893" spans="1:7" ht="15">
      <c r="A893" s="471"/>
      <c r="B893" s="194" t="str">
        <f>'Coef. resumen'!$B$30</f>
        <v>Julián Antonelli</v>
      </c>
      <c r="C893" s="524"/>
      <c r="D893" s="524"/>
      <c r="E893" s="194" t="str">
        <f>'Coef. resumen'!$E$30</f>
        <v>Marcelo A. Pasquini</v>
      </c>
      <c r="F893" s="329"/>
    </row>
    <row r="894" spans="1:7" ht="15">
      <c r="A894" s="471"/>
      <c r="B894" s="194" t="str">
        <f>'Coef. resumen'!$B$31</f>
        <v>Ing. Civil M.P. 2161</v>
      </c>
      <c r="C894" s="524"/>
      <c r="D894" s="524"/>
      <c r="E894" s="194" t="str">
        <f>'Coef. resumen'!$E$31</f>
        <v>Socio Gerente</v>
      </c>
      <c r="F894" s="329"/>
    </row>
    <row r="895" spans="1:7" ht="15">
      <c r="A895" s="471"/>
      <c r="B895" s="194" t="str">
        <f>'Coef. resumen'!$B$32</f>
        <v>Representante Técnico</v>
      </c>
      <c r="C895" s="524"/>
      <c r="D895" s="19"/>
      <c r="E895" s="194" t="str">
        <f>'Coef. resumen'!$E$32</f>
        <v>Pasquini Construcciones SRL</v>
      </c>
      <c r="F895" s="329"/>
    </row>
    <row r="896" spans="1:7" ht="15">
      <c r="A896" s="471"/>
      <c r="B896" s="194"/>
      <c r="C896" s="329"/>
      <c r="D896" s="19"/>
      <c r="E896" s="194"/>
      <c r="F896" s="329"/>
    </row>
    <row r="897" spans="1:7" ht="14.1" customHeight="1">
      <c r="A897" s="477" t="s">
        <v>142</v>
      </c>
      <c r="B897" s="613" t="str">
        <f>Presupuesto!B47</f>
        <v xml:space="preserve">Caudalímetro </v>
      </c>
      <c r="C897" s="614"/>
      <c r="D897" s="615"/>
      <c r="E897" s="367" t="s">
        <v>143</v>
      </c>
      <c r="F897" s="30" t="str">
        <f>Presupuesto!C47</f>
        <v>Gl</v>
      </c>
      <c r="G897" s="1"/>
    </row>
    <row r="898" spans="1:7" ht="14.1" customHeight="1">
      <c r="A898" s="622" t="str">
        <f>Presupuesto!A47</f>
        <v>1.6.7</v>
      </c>
      <c r="B898" s="616"/>
      <c r="C898" s="617"/>
      <c r="D898" s="618"/>
      <c r="E898" s="367"/>
      <c r="F898" s="367"/>
      <c r="G898" s="1"/>
    </row>
    <row r="899" spans="1:7" ht="14.1" customHeight="1">
      <c r="A899" s="622"/>
      <c r="B899" s="616"/>
      <c r="C899" s="617"/>
      <c r="D899" s="618"/>
      <c r="E899" s="367"/>
      <c r="F899" s="367"/>
      <c r="G899" s="1"/>
    </row>
    <row r="900" spans="1:7" ht="14.1" customHeight="1">
      <c r="A900" s="623"/>
      <c r="B900" s="619"/>
      <c r="C900" s="620"/>
      <c r="D900" s="621"/>
      <c r="E900" s="367"/>
      <c r="F900" s="367"/>
      <c r="G900" s="1"/>
    </row>
    <row r="901" spans="1:7" ht="14.1" customHeight="1">
      <c r="A901" s="478"/>
      <c r="B901" s="29"/>
      <c r="C901" s="368"/>
      <c r="D901" s="368"/>
      <c r="E901" s="365"/>
      <c r="F901" s="365"/>
      <c r="G901" s="1"/>
    </row>
    <row r="902" spans="1:7" ht="14.1" customHeight="1">
      <c r="A902" s="624" t="s">
        <v>144</v>
      </c>
      <c r="B902" s="624"/>
      <c r="C902" s="624"/>
      <c r="D902" s="624"/>
      <c r="E902" s="624"/>
      <c r="F902" s="624"/>
      <c r="G902" s="1"/>
    </row>
    <row r="903" spans="1:7" ht="14.1" customHeight="1">
      <c r="A903" s="479"/>
      <c r="B903" s="10"/>
      <c r="C903" s="327"/>
      <c r="D903" s="327"/>
      <c r="E903" s="327"/>
      <c r="F903" s="327"/>
      <c r="G903" s="1"/>
    </row>
    <row r="904" spans="1:7" ht="15.95" customHeight="1">
      <c r="A904" s="480" t="s">
        <v>145</v>
      </c>
      <c r="B904" s="11" t="s">
        <v>146</v>
      </c>
      <c r="C904" s="11" t="s">
        <v>147</v>
      </c>
      <c r="D904" s="11" t="s">
        <v>148</v>
      </c>
      <c r="E904" s="12" t="s">
        <v>149</v>
      </c>
      <c r="F904" s="11" t="s">
        <v>150</v>
      </c>
      <c r="G904" s="1"/>
    </row>
    <row r="905" spans="1:7" ht="14.1" customHeight="1">
      <c r="A905" s="480">
        <v>1</v>
      </c>
      <c r="B905" s="331" t="s">
        <v>1168</v>
      </c>
      <c r="C905" s="332" t="s">
        <v>1026</v>
      </c>
      <c r="D905" s="14">
        <v>1</v>
      </c>
      <c r="E905" s="18">
        <v>2750</v>
      </c>
      <c r="F905" s="375">
        <f>ROUND(D905*E905, 2)</f>
        <v>2750</v>
      </c>
      <c r="G905" s="1"/>
    </row>
    <row r="906" spans="1:7" ht="14.1" customHeight="1">
      <c r="A906" s="480">
        <v>2</v>
      </c>
      <c r="B906" s="331" t="s">
        <v>1169</v>
      </c>
      <c r="C906" s="332" t="s">
        <v>1026</v>
      </c>
      <c r="D906" s="14">
        <v>1</v>
      </c>
      <c r="E906" s="18">
        <f>0.25*F905</f>
        <v>687.5</v>
      </c>
      <c r="F906" s="375">
        <f t="shared" ref="F906:F916" si="45">ROUND(D906*E906, 2)</f>
        <v>687.5</v>
      </c>
      <c r="G906" s="1"/>
    </row>
    <row r="907" spans="1:7" ht="14.1" customHeight="1">
      <c r="A907" s="480">
        <v>3</v>
      </c>
      <c r="B907" s="331"/>
      <c r="C907" s="332"/>
      <c r="D907" s="14"/>
      <c r="E907" s="18"/>
      <c r="F907" s="375">
        <f t="shared" si="45"/>
        <v>0</v>
      </c>
      <c r="G907" s="1"/>
    </row>
    <row r="908" spans="1:7" ht="14.1" customHeight="1">
      <c r="A908" s="480">
        <v>4</v>
      </c>
      <c r="B908" s="331"/>
      <c r="C908" s="332"/>
      <c r="D908" s="14"/>
      <c r="E908" s="18"/>
      <c r="F908" s="375">
        <f t="shared" si="45"/>
        <v>0</v>
      </c>
      <c r="G908" s="1"/>
    </row>
    <row r="909" spans="1:7" ht="14.1" customHeight="1">
      <c r="A909" s="480">
        <v>5</v>
      </c>
      <c r="B909" s="331"/>
      <c r="C909" s="332"/>
      <c r="D909" s="14"/>
      <c r="E909" s="18"/>
      <c r="F909" s="375">
        <f t="shared" si="45"/>
        <v>0</v>
      </c>
      <c r="G909" s="1"/>
    </row>
    <row r="910" spans="1:7" ht="14.1" customHeight="1">
      <c r="A910" s="480">
        <v>6</v>
      </c>
      <c r="B910" s="331"/>
      <c r="C910" s="332"/>
      <c r="D910" s="14"/>
      <c r="E910" s="18"/>
      <c r="F910" s="375">
        <f t="shared" si="45"/>
        <v>0</v>
      </c>
      <c r="G910" s="1"/>
    </row>
    <row r="911" spans="1:7" ht="14.1" customHeight="1">
      <c r="A911" s="480">
        <v>7</v>
      </c>
      <c r="B911" s="220"/>
      <c r="C911" s="324"/>
      <c r="D911" s="14"/>
      <c r="E911" s="18"/>
      <c r="F911" s="375">
        <f t="shared" si="45"/>
        <v>0</v>
      </c>
      <c r="G911" s="1"/>
    </row>
    <row r="912" spans="1:7" ht="14.1" customHeight="1">
      <c r="A912" s="480">
        <v>8</v>
      </c>
      <c r="B912" s="13"/>
      <c r="C912" s="11"/>
      <c r="D912" s="14"/>
      <c r="E912" s="18"/>
      <c r="F912" s="375">
        <f t="shared" si="45"/>
        <v>0</v>
      </c>
      <c r="G912" s="1"/>
    </row>
    <row r="913" spans="1:7" ht="14.1" customHeight="1">
      <c r="A913" s="480">
        <v>9</v>
      </c>
      <c r="B913" s="220"/>
      <c r="C913" s="324"/>
      <c r="D913" s="14"/>
      <c r="E913" s="18"/>
      <c r="F913" s="375">
        <f t="shared" si="45"/>
        <v>0</v>
      </c>
      <c r="G913" s="1"/>
    </row>
    <row r="914" spans="1:7" ht="14.1" customHeight="1">
      <c r="A914" s="480">
        <v>10</v>
      </c>
      <c r="B914" s="201"/>
      <c r="C914" s="11"/>
      <c r="D914" s="14"/>
      <c r="E914" s="18"/>
      <c r="F914" s="375">
        <f t="shared" si="45"/>
        <v>0</v>
      </c>
      <c r="G914" s="1"/>
    </row>
    <row r="915" spans="1:7" ht="14.1" customHeight="1">
      <c r="A915" s="480">
        <v>11</v>
      </c>
      <c r="B915" s="13"/>
      <c r="C915" s="11"/>
      <c r="D915" s="14"/>
      <c r="E915" s="18"/>
      <c r="F915" s="375">
        <f t="shared" si="45"/>
        <v>0</v>
      </c>
      <c r="G915" s="1"/>
    </row>
    <row r="916" spans="1:7" ht="14.1" customHeight="1" thickBot="1">
      <c r="A916" s="480">
        <v>12</v>
      </c>
      <c r="B916" s="13"/>
      <c r="C916" s="11"/>
      <c r="D916" s="11"/>
      <c r="E916" s="18"/>
      <c r="F916" s="375">
        <f t="shared" si="45"/>
        <v>0</v>
      </c>
      <c r="G916" s="1"/>
    </row>
    <row r="917" spans="1:7" ht="14.1" customHeight="1" thickBot="1">
      <c r="A917" s="481"/>
      <c r="B917" s="5"/>
      <c r="C917" s="367"/>
      <c r="D917" s="367"/>
      <c r="E917" s="367" t="s">
        <v>151</v>
      </c>
      <c r="F917" s="376">
        <f>SUM(F905:F916)</f>
        <v>3437.5</v>
      </c>
      <c r="G917" s="1"/>
    </row>
    <row r="918" spans="1:7" ht="14.1" customHeight="1">
      <c r="A918" s="482"/>
      <c r="B918" s="325"/>
      <c r="C918" s="328"/>
      <c r="D918" s="328"/>
      <c r="E918" s="328"/>
      <c r="F918" s="328"/>
      <c r="G918" s="1"/>
    </row>
    <row r="919" spans="1:7" ht="14.1" customHeight="1">
      <c r="A919" s="625" t="s">
        <v>152</v>
      </c>
      <c r="B919" s="625"/>
      <c r="C919" s="625"/>
      <c r="D919" s="625"/>
      <c r="E919" s="625"/>
      <c r="F919" s="625"/>
      <c r="G919" s="1"/>
    </row>
    <row r="920" spans="1:7" ht="14.1" customHeight="1">
      <c r="A920" s="482"/>
      <c r="B920" s="325"/>
      <c r="C920" s="328"/>
      <c r="D920" s="328"/>
      <c r="E920" s="328"/>
      <c r="F920" s="367"/>
      <c r="G920" s="1"/>
    </row>
    <row r="921" spans="1:7" ht="14.1" customHeight="1">
      <c r="A921" s="480">
        <v>13</v>
      </c>
      <c r="B921" s="17" t="s">
        <v>153</v>
      </c>
      <c r="C921" s="11" t="s">
        <v>154</v>
      </c>
      <c r="D921" s="330">
        <v>4</v>
      </c>
      <c r="E921" s="18">
        <f>'Mano de obra'!$J$20</f>
        <v>82.610000000000014</v>
      </c>
      <c r="F921" s="375">
        <f>ROUND(D921*E921, 2)</f>
        <v>330.44</v>
      </c>
      <c r="G921" s="1"/>
    </row>
    <row r="922" spans="1:7" ht="14.1" customHeight="1">
      <c r="A922" s="480">
        <v>14</v>
      </c>
      <c r="B922" s="17" t="s">
        <v>155</v>
      </c>
      <c r="C922" s="11" t="s">
        <v>154</v>
      </c>
      <c r="D922" s="330">
        <v>4</v>
      </c>
      <c r="E922" s="18">
        <f>'Mano de obra'!$J$21</f>
        <v>70.38</v>
      </c>
      <c r="F922" s="375">
        <f t="shared" ref="F922:F925" si="46">ROUND(D922*E922, 2)</f>
        <v>281.52</v>
      </c>
      <c r="G922" s="1"/>
    </row>
    <row r="923" spans="1:7" ht="14.1" customHeight="1">
      <c r="A923" s="480">
        <v>15</v>
      </c>
      <c r="B923" s="17" t="s">
        <v>156</v>
      </c>
      <c r="C923" s="11" t="s">
        <v>154</v>
      </c>
      <c r="D923" s="330">
        <v>0</v>
      </c>
      <c r="E923" s="18">
        <f>'Mano de obra'!$J$22</f>
        <v>64.78</v>
      </c>
      <c r="F923" s="375">
        <f t="shared" si="46"/>
        <v>0</v>
      </c>
      <c r="G923" s="1"/>
    </row>
    <row r="924" spans="1:7" ht="14.1" customHeight="1">
      <c r="A924" s="480">
        <v>16</v>
      </c>
      <c r="B924" s="17" t="s">
        <v>157</v>
      </c>
      <c r="C924" s="11" t="s">
        <v>154</v>
      </c>
      <c r="D924" s="330">
        <v>0</v>
      </c>
      <c r="E924" s="18">
        <f>'Mano de obra'!$J$23</f>
        <v>59.800000000000004</v>
      </c>
      <c r="F924" s="375">
        <f t="shared" si="46"/>
        <v>0</v>
      </c>
      <c r="G924" s="1"/>
    </row>
    <row r="925" spans="1:7" ht="14.1" customHeight="1" thickBot="1">
      <c r="A925" s="480">
        <v>17</v>
      </c>
      <c r="B925" s="13"/>
      <c r="C925" s="11"/>
      <c r="D925" s="11"/>
      <c r="E925" s="18"/>
      <c r="F925" s="375">
        <f t="shared" si="46"/>
        <v>0</v>
      </c>
      <c r="G925" s="1"/>
    </row>
    <row r="926" spans="1:7" ht="14.1" customHeight="1" thickBot="1">
      <c r="A926" s="483"/>
      <c r="B926" s="325"/>
      <c r="C926" s="328"/>
      <c r="D926" s="328"/>
      <c r="E926" s="367" t="s">
        <v>158</v>
      </c>
      <c r="F926" s="376">
        <f>SUM(F921:F925)</f>
        <v>611.96</v>
      </c>
      <c r="G926" s="1"/>
    </row>
    <row r="927" spans="1:7" ht="14.1" customHeight="1" thickBot="1">
      <c r="A927" s="484"/>
      <c r="B927" s="325"/>
      <c r="C927" s="328"/>
      <c r="D927" s="328"/>
      <c r="E927" s="328"/>
      <c r="F927" s="367"/>
      <c r="G927" s="1"/>
    </row>
    <row r="928" spans="1:7" ht="14.1" customHeight="1" thickBot="1">
      <c r="A928" s="480"/>
      <c r="B928" s="142" t="s">
        <v>273</v>
      </c>
      <c r="C928" s="369"/>
      <c r="D928" s="369"/>
      <c r="E928" s="377" t="s">
        <v>159</v>
      </c>
      <c r="F928" s="376">
        <f>SUM(F917+F926)</f>
        <v>4049.46</v>
      </c>
      <c r="G928" s="1"/>
    </row>
    <row r="929" spans="1:7" ht="15" customHeight="1">
      <c r="A929" s="626"/>
      <c r="B929" s="627" t="s">
        <v>274</v>
      </c>
      <c r="C929" s="628"/>
      <c r="D929" s="628"/>
      <c r="E929" s="629" t="s">
        <v>275</v>
      </c>
      <c r="F929" s="631">
        <f>ROUND(F928*'Coef. resumen'!$F$23, 2)</f>
        <v>6001.3</v>
      </c>
    </row>
    <row r="930" spans="1:7" ht="15" customHeight="1" thickBot="1">
      <c r="A930" s="626"/>
      <c r="B930" s="627"/>
      <c r="C930" s="628"/>
      <c r="D930" s="628"/>
      <c r="E930" s="630"/>
      <c r="F930" s="632"/>
    </row>
    <row r="931" spans="1:7" ht="15">
      <c r="A931" s="471"/>
      <c r="B931" s="2"/>
      <c r="C931" s="329"/>
      <c r="D931" s="329"/>
      <c r="E931" s="329"/>
      <c r="F931" s="329"/>
    </row>
    <row r="932" spans="1:7" ht="15">
      <c r="A932" s="471"/>
      <c r="B932" s="2"/>
      <c r="C932" s="329"/>
      <c r="D932" s="329"/>
      <c r="E932" s="329"/>
      <c r="F932" s="329"/>
    </row>
    <row r="933" spans="1:7" ht="15">
      <c r="A933" s="471"/>
      <c r="B933" s="194" t="str">
        <f>'Coef. resumen'!$B$30</f>
        <v>Julián Antonelli</v>
      </c>
      <c r="C933" s="524"/>
      <c r="D933" s="524"/>
      <c r="E933" s="194" t="str">
        <f>'Coef. resumen'!$E$30</f>
        <v>Marcelo A. Pasquini</v>
      </c>
      <c r="F933" s="329"/>
    </row>
    <row r="934" spans="1:7" ht="15">
      <c r="A934" s="471"/>
      <c r="B934" s="194" t="str">
        <f>'Coef. resumen'!$B$31</f>
        <v>Ing. Civil M.P. 2161</v>
      </c>
      <c r="C934" s="524"/>
      <c r="D934" s="524"/>
      <c r="E934" s="194" t="str">
        <f>'Coef. resumen'!$E$31</f>
        <v>Socio Gerente</v>
      </c>
      <c r="F934" s="329"/>
    </row>
    <row r="935" spans="1:7" ht="15">
      <c r="A935" s="471"/>
      <c r="B935" s="194" t="str">
        <f>'Coef. resumen'!$B$32</f>
        <v>Representante Técnico</v>
      </c>
      <c r="C935" s="524"/>
      <c r="D935" s="19"/>
      <c r="E935" s="194" t="str">
        <f>'Coef. resumen'!$E$32</f>
        <v>Pasquini Construcciones SRL</v>
      </c>
      <c r="F935" s="329"/>
    </row>
    <row r="936" spans="1:7" ht="15">
      <c r="A936" s="471"/>
      <c r="B936" s="194"/>
      <c r="C936" s="329"/>
      <c r="D936" s="19"/>
      <c r="E936" s="194"/>
      <c r="F936" s="329"/>
    </row>
    <row r="937" spans="1:7" ht="14.1" customHeight="1">
      <c r="A937" s="477" t="s">
        <v>142</v>
      </c>
      <c r="B937" s="613" t="str">
        <f>Presupuesto!B48</f>
        <v>Sensor de cloro residual con sistema de alarma</v>
      </c>
      <c r="C937" s="614"/>
      <c r="D937" s="615"/>
      <c r="E937" s="367" t="s">
        <v>143</v>
      </c>
      <c r="F937" s="30" t="str">
        <f>Presupuesto!C48</f>
        <v>Gl</v>
      </c>
      <c r="G937" s="1"/>
    </row>
    <row r="938" spans="1:7" ht="14.1" customHeight="1">
      <c r="A938" s="622" t="str">
        <f>Presupuesto!A48</f>
        <v>1.6.8</v>
      </c>
      <c r="B938" s="616"/>
      <c r="C938" s="617"/>
      <c r="D938" s="618"/>
      <c r="E938" s="367"/>
      <c r="F938" s="367"/>
      <c r="G938" s="1"/>
    </row>
    <row r="939" spans="1:7" ht="14.1" customHeight="1">
      <c r="A939" s="622"/>
      <c r="B939" s="616"/>
      <c r="C939" s="617"/>
      <c r="D939" s="618"/>
      <c r="E939" s="367"/>
      <c r="F939" s="367"/>
      <c r="G939" s="1"/>
    </row>
    <row r="940" spans="1:7" ht="14.1" customHeight="1">
      <c r="A940" s="623"/>
      <c r="B940" s="619"/>
      <c r="C940" s="620"/>
      <c r="D940" s="621"/>
      <c r="E940" s="367"/>
      <c r="F940" s="367"/>
      <c r="G940" s="1"/>
    </row>
    <row r="941" spans="1:7" ht="14.1" customHeight="1">
      <c r="A941" s="478"/>
      <c r="B941" s="29"/>
      <c r="C941" s="368"/>
      <c r="D941" s="368"/>
      <c r="E941" s="365"/>
      <c r="F941" s="365"/>
      <c r="G941" s="1"/>
    </row>
    <row r="942" spans="1:7" ht="14.1" customHeight="1">
      <c r="A942" s="624" t="s">
        <v>144</v>
      </c>
      <c r="B942" s="624"/>
      <c r="C942" s="624"/>
      <c r="D942" s="624"/>
      <c r="E942" s="624"/>
      <c r="F942" s="624"/>
      <c r="G942" s="1"/>
    </row>
    <row r="943" spans="1:7" ht="14.1" customHeight="1">
      <c r="A943" s="479"/>
      <c r="B943" s="10"/>
      <c r="C943" s="327"/>
      <c r="D943" s="327"/>
      <c r="E943" s="327"/>
      <c r="F943" s="327"/>
      <c r="G943" s="1"/>
    </row>
    <row r="944" spans="1:7" ht="15.95" customHeight="1">
      <c r="A944" s="480" t="s">
        <v>145</v>
      </c>
      <c r="B944" s="11" t="s">
        <v>146</v>
      </c>
      <c r="C944" s="11" t="s">
        <v>147</v>
      </c>
      <c r="D944" s="11" t="s">
        <v>148</v>
      </c>
      <c r="E944" s="12" t="s">
        <v>149</v>
      </c>
      <c r="F944" s="11" t="s">
        <v>150</v>
      </c>
      <c r="G944" s="1"/>
    </row>
    <row r="945" spans="1:7" ht="14.1" customHeight="1">
      <c r="A945" s="480">
        <v>1</v>
      </c>
      <c r="B945" s="331" t="s">
        <v>1170</v>
      </c>
      <c r="C945" s="332" t="s">
        <v>1026</v>
      </c>
      <c r="D945" s="14">
        <v>1</v>
      </c>
      <c r="E945" s="18">
        <v>5800</v>
      </c>
      <c r="F945" s="375">
        <f>ROUND(D945*E945, 2)</f>
        <v>5800</v>
      </c>
      <c r="G945" s="1"/>
    </row>
    <row r="946" spans="1:7" ht="14.1" customHeight="1">
      <c r="A946" s="480">
        <v>2</v>
      </c>
      <c r="B946" s="331" t="s">
        <v>1171</v>
      </c>
      <c r="C946" s="332" t="s">
        <v>1026</v>
      </c>
      <c r="D946" s="14">
        <v>1</v>
      </c>
      <c r="E946" s="18">
        <f>0.15*F945</f>
        <v>870</v>
      </c>
      <c r="F946" s="375">
        <f t="shared" ref="F946:F956" si="47">ROUND(D946*E946, 2)</f>
        <v>870</v>
      </c>
      <c r="G946" s="1"/>
    </row>
    <row r="947" spans="1:7" ht="14.1" customHeight="1">
      <c r="A947" s="480">
        <v>3</v>
      </c>
      <c r="B947" s="331"/>
      <c r="C947" s="332"/>
      <c r="D947" s="14"/>
      <c r="E947" s="18"/>
      <c r="F947" s="375">
        <f t="shared" si="47"/>
        <v>0</v>
      </c>
      <c r="G947" s="1"/>
    </row>
    <row r="948" spans="1:7" ht="14.1" customHeight="1">
      <c r="A948" s="480">
        <v>4</v>
      </c>
      <c r="B948" s="331"/>
      <c r="C948" s="332"/>
      <c r="D948" s="14"/>
      <c r="E948" s="18"/>
      <c r="F948" s="375">
        <f t="shared" si="47"/>
        <v>0</v>
      </c>
      <c r="G948" s="1"/>
    </row>
    <row r="949" spans="1:7" ht="14.1" customHeight="1">
      <c r="A949" s="480">
        <v>5</v>
      </c>
      <c r="B949" s="331"/>
      <c r="C949" s="332"/>
      <c r="D949" s="14"/>
      <c r="E949" s="18"/>
      <c r="F949" s="375">
        <f t="shared" si="47"/>
        <v>0</v>
      </c>
      <c r="G949" s="1"/>
    </row>
    <row r="950" spans="1:7" ht="14.1" customHeight="1">
      <c r="A950" s="480">
        <v>6</v>
      </c>
      <c r="B950" s="331"/>
      <c r="C950" s="332"/>
      <c r="D950" s="14"/>
      <c r="E950" s="18"/>
      <c r="F950" s="375">
        <f t="shared" si="47"/>
        <v>0</v>
      </c>
      <c r="G950" s="1"/>
    </row>
    <row r="951" spans="1:7" ht="14.1" customHeight="1">
      <c r="A951" s="480">
        <v>7</v>
      </c>
      <c r="B951" s="220"/>
      <c r="C951" s="324"/>
      <c r="D951" s="14"/>
      <c r="E951" s="18"/>
      <c r="F951" s="375">
        <f t="shared" si="47"/>
        <v>0</v>
      </c>
      <c r="G951" s="1"/>
    </row>
    <row r="952" spans="1:7" ht="14.1" customHeight="1">
      <c r="A952" s="480">
        <v>8</v>
      </c>
      <c r="B952" s="13"/>
      <c r="C952" s="11"/>
      <c r="D952" s="14"/>
      <c r="E952" s="18"/>
      <c r="F952" s="375">
        <f t="shared" si="47"/>
        <v>0</v>
      </c>
      <c r="G952" s="1"/>
    </row>
    <row r="953" spans="1:7" ht="14.1" customHeight="1">
      <c r="A953" s="480">
        <v>9</v>
      </c>
      <c r="B953" s="220"/>
      <c r="C953" s="324"/>
      <c r="D953" s="14"/>
      <c r="E953" s="18"/>
      <c r="F953" s="375">
        <f t="shared" si="47"/>
        <v>0</v>
      </c>
      <c r="G953" s="1"/>
    </row>
    <row r="954" spans="1:7" ht="14.1" customHeight="1">
      <c r="A954" s="480">
        <v>10</v>
      </c>
      <c r="B954" s="201"/>
      <c r="C954" s="11"/>
      <c r="D954" s="14"/>
      <c r="E954" s="18"/>
      <c r="F954" s="375">
        <f t="shared" si="47"/>
        <v>0</v>
      </c>
      <c r="G954" s="1"/>
    </row>
    <row r="955" spans="1:7" ht="14.1" customHeight="1">
      <c r="A955" s="480">
        <v>11</v>
      </c>
      <c r="B955" s="13"/>
      <c r="C955" s="11"/>
      <c r="D955" s="14"/>
      <c r="E955" s="18"/>
      <c r="F955" s="375">
        <f t="shared" si="47"/>
        <v>0</v>
      </c>
      <c r="G955" s="1"/>
    </row>
    <row r="956" spans="1:7" ht="14.1" customHeight="1" thickBot="1">
      <c r="A956" s="480">
        <v>12</v>
      </c>
      <c r="B956" s="13"/>
      <c r="C956" s="11"/>
      <c r="D956" s="11"/>
      <c r="E956" s="18"/>
      <c r="F956" s="375">
        <f t="shared" si="47"/>
        <v>0</v>
      </c>
      <c r="G956" s="1"/>
    </row>
    <row r="957" spans="1:7" ht="14.1" customHeight="1" thickBot="1">
      <c r="A957" s="481"/>
      <c r="B957" s="5"/>
      <c r="C957" s="367"/>
      <c r="D957" s="367"/>
      <c r="E957" s="367" t="s">
        <v>151</v>
      </c>
      <c r="F957" s="376">
        <f>SUM(F945:F956)</f>
        <v>6670</v>
      </c>
      <c r="G957" s="1"/>
    </row>
    <row r="958" spans="1:7" ht="14.1" customHeight="1">
      <c r="A958" s="482"/>
      <c r="B958" s="325"/>
      <c r="C958" s="328"/>
      <c r="D958" s="328"/>
      <c r="E958" s="328"/>
      <c r="F958" s="328"/>
      <c r="G958" s="1"/>
    </row>
    <row r="959" spans="1:7" ht="14.1" customHeight="1">
      <c r="A959" s="625" t="s">
        <v>152</v>
      </c>
      <c r="B959" s="625"/>
      <c r="C959" s="625"/>
      <c r="D959" s="625"/>
      <c r="E959" s="625"/>
      <c r="F959" s="625"/>
      <c r="G959" s="1"/>
    </row>
    <row r="960" spans="1:7" ht="14.1" customHeight="1">
      <c r="A960" s="482"/>
      <c r="B960" s="325"/>
      <c r="C960" s="328"/>
      <c r="D960" s="328"/>
      <c r="E960" s="328"/>
      <c r="F960" s="367"/>
      <c r="G960" s="1"/>
    </row>
    <row r="961" spans="1:7" ht="14.1" customHeight="1">
      <c r="A961" s="480">
        <v>13</v>
      </c>
      <c r="B961" s="17" t="s">
        <v>153</v>
      </c>
      <c r="C961" s="11" t="s">
        <v>154</v>
      </c>
      <c r="D961" s="330">
        <v>8</v>
      </c>
      <c r="E961" s="18">
        <f>'Mano de obra'!$J$20</f>
        <v>82.610000000000014</v>
      </c>
      <c r="F961" s="375">
        <f>ROUND(D961*E961, 2)</f>
        <v>660.88</v>
      </c>
      <c r="G961" s="1"/>
    </row>
    <row r="962" spans="1:7" ht="14.1" customHeight="1">
      <c r="A962" s="480">
        <v>14</v>
      </c>
      <c r="B962" s="17" t="s">
        <v>155</v>
      </c>
      <c r="C962" s="11" t="s">
        <v>154</v>
      </c>
      <c r="D962" s="330">
        <v>0</v>
      </c>
      <c r="E962" s="18">
        <f>'Mano de obra'!$J$21</f>
        <v>70.38</v>
      </c>
      <c r="F962" s="375">
        <f t="shared" ref="F962:F965" si="48">ROUND(D962*E962, 2)</f>
        <v>0</v>
      </c>
      <c r="G962" s="1"/>
    </row>
    <row r="963" spans="1:7" ht="14.1" customHeight="1">
      <c r="A963" s="480">
        <v>15</v>
      </c>
      <c r="B963" s="17" t="s">
        <v>156</v>
      </c>
      <c r="C963" s="11" t="s">
        <v>154</v>
      </c>
      <c r="D963" s="330">
        <v>0</v>
      </c>
      <c r="E963" s="18">
        <f>'Mano de obra'!$J$22</f>
        <v>64.78</v>
      </c>
      <c r="F963" s="375">
        <f t="shared" si="48"/>
        <v>0</v>
      </c>
      <c r="G963" s="1"/>
    </row>
    <row r="964" spans="1:7" ht="14.1" customHeight="1">
      <c r="A964" s="480">
        <v>16</v>
      </c>
      <c r="B964" s="17" t="s">
        <v>157</v>
      </c>
      <c r="C964" s="11" t="s">
        <v>154</v>
      </c>
      <c r="D964" s="330">
        <v>8</v>
      </c>
      <c r="E964" s="18">
        <f>'Mano de obra'!$J$23</f>
        <v>59.800000000000004</v>
      </c>
      <c r="F964" s="375">
        <f t="shared" si="48"/>
        <v>478.4</v>
      </c>
      <c r="G964" s="1"/>
    </row>
    <row r="965" spans="1:7" ht="14.1" customHeight="1" thickBot="1">
      <c r="A965" s="480">
        <v>17</v>
      </c>
      <c r="B965" s="13"/>
      <c r="C965" s="11"/>
      <c r="D965" s="11"/>
      <c r="E965" s="18"/>
      <c r="F965" s="375">
        <f t="shared" si="48"/>
        <v>0</v>
      </c>
      <c r="G965" s="1"/>
    </row>
    <row r="966" spans="1:7" ht="14.1" customHeight="1" thickBot="1">
      <c r="A966" s="483"/>
      <c r="B966" s="325"/>
      <c r="C966" s="328"/>
      <c r="D966" s="328"/>
      <c r="E966" s="367" t="s">
        <v>158</v>
      </c>
      <c r="F966" s="376">
        <f>SUM(F961:F965)</f>
        <v>1139.28</v>
      </c>
      <c r="G966" s="1"/>
    </row>
    <row r="967" spans="1:7" ht="14.1" customHeight="1" thickBot="1">
      <c r="A967" s="484"/>
      <c r="B967" s="325"/>
      <c r="C967" s="328"/>
      <c r="D967" s="328"/>
      <c r="E967" s="328"/>
      <c r="F967" s="367"/>
      <c r="G967" s="1"/>
    </row>
    <row r="968" spans="1:7" ht="14.1" customHeight="1" thickBot="1">
      <c r="A968" s="480"/>
      <c r="B968" s="142" t="s">
        <v>273</v>
      </c>
      <c r="C968" s="369"/>
      <c r="D968" s="369"/>
      <c r="E968" s="377" t="s">
        <v>159</v>
      </c>
      <c r="F968" s="376">
        <f>SUM(F957+F966)</f>
        <v>7809.28</v>
      </c>
      <c r="G968" s="1"/>
    </row>
    <row r="969" spans="1:7" ht="15" customHeight="1">
      <c r="A969" s="626"/>
      <c r="B969" s="627" t="s">
        <v>274</v>
      </c>
      <c r="C969" s="628"/>
      <c r="D969" s="628"/>
      <c r="E969" s="629" t="s">
        <v>275</v>
      </c>
      <c r="F969" s="631">
        <f>ROUND(F968*'Coef. resumen'!$F$23, 2)</f>
        <v>11573.35</v>
      </c>
    </row>
    <row r="970" spans="1:7" ht="15" customHeight="1" thickBot="1">
      <c r="A970" s="626"/>
      <c r="B970" s="627"/>
      <c r="C970" s="628"/>
      <c r="D970" s="628"/>
      <c r="E970" s="630"/>
      <c r="F970" s="632"/>
    </row>
    <row r="971" spans="1:7" ht="15">
      <c r="A971" s="471"/>
      <c r="B971" s="2"/>
      <c r="C971" s="329"/>
      <c r="D971" s="329"/>
      <c r="E971" s="329"/>
      <c r="F971" s="329"/>
    </row>
    <row r="972" spans="1:7" ht="15">
      <c r="A972" s="471"/>
      <c r="B972" s="2"/>
      <c r="C972" s="329"/>
      <c r="D972" s="329"/>
      <c r="E972" s="329"/>
      <c r="F972" s="329"/>
    </row>
    <row r="973" spans="1:7" ht="15">
      <c r="A973" s="471"/>
      <c r="B973" s="194" t="str">
        <f>'Coef. resumen'!$B$30</f>
        <v>Julián Antonelli</v>
      </c>
      <c r="C973" s="524"/>
      <c r="D973" s="524"/>
      <c r="E973" s="194" t="str">
        <f>'Coef. resumen'!$E$30</f>
        <v>Marcelo A. Pasquini</v>
      </c>
      <c r="F973" s="329"/>
    </row>
    <row r="974" spans="1:7" ht="15">
      <c r="A974" s="471"/>
      <c r="B974" s="194" t="str">
        <f>'Coef. resumen'!$B$31</f>
        <v>Ing. Civil M.P. 2161</v>
      </c>
      <c r="C974" s="524"/>
      <c r="D974" s="524"/>
      <c r="E974" s="194" t="str">
        <f>'Coef. resumen'!$E$31</f>
        <v>Socio Gerente</v>
      </c>
      <c r="F974" s="329"/>
    </row>
    <row r="975" spans="1:7" ht="15">
      <c r="A975" s="471"/>
      <c r="B975" s="194" t="str">
        <f>'Coef. resumen'!$B$32</f>
        <v>Representante Técnico</v>
      </c>
      <c r="C975" s="524"/>
      <c r="D975" s="19"/>
      <c r="E975" s="194" t="str">
        <f>'Coef. resumen'!$E$32</f>
        <v>Pasquini Construcciones SRL</v>
      </c>
      <c r="F975" s="329"/>
    </row>
    <row r="976" spans="1:7" ht="15">
      <c r="A976" s="471"/>
      <c r="B976" s="194"/>
      <c r="C976" s="329"/>
      <c r="D976" s="19"/>
      <c r="E976" s="194"/>
      <c r="F976" s="329"/>
    </row>
    <row r="977" spans="1:7" ht="14.1" customHeight="1">
      <c r="A977" s="477" t="s">
        <v>142</v>
      </c>
      <c r="B977" s="613" t="str">
        <f>Presupuesto!B50</f>
        <v>Preparación del terreno y Movimiento de suelo</v>
      </c>
      <c r="C977" s="614"/>
      <c r="D977" s="615"/>
      <c r="E977" s="367" t="s">
        <v>143</v>
      </c>
      <c r="F977" s="30" t="str">
        <f>Presupuesto!C50</f>
        <v>Gl</v>
      </c>
      <c r="G977" s="1"/>
    </row>
    <row r="978" spans="1:7" ht="14.1" customHeight="1">
      <c r="A978" s="622" t="str">
        <f>Presupuesto!A50</f>
        <v>1.7.1</v>
      </c>
      <c r="B978" s="616"/>
      <c r="C978" s="617"/>
      <c r="D978" s="618"/>
      <c r="E978" s="367"/>
      <c r="F978" s="367"/>
      <c r="G978" s="1"/>
    </row>
    <row r="979" spans="1:7" ht="14.1" customHeight="1">
      <c r="A979" s="622"/>
      <c r="B979" s="616"/>
      <c r="C979" s="617"/>
      <c r="D979" s="618"/>
      <c r="E979" s="367"/>
      <c r="F979" s="367"/>
      <c r="G979" s="1"/>
    </row>
    <row r="980" spans="1:7" ht="14.1" customHeight="1">
      <c r="A980" s="623"/>
      <c r="B980" s="619"/>
      <c r="C980" s="620"/>
      <c r="D980" s="621"/>
      <c r="E980" s="367"/>
      <c r="F980" s="367"/>
      <c r="G980" s="1"/>
    </row>
    <row r="981" spans="1:7" ht="14.1" customHeight="1">
      <c r="A981" s="478"/>
      <c r="B981" s="29"/>
      <c r="C981" s="368"/>
      <c r="D981" s="368"/>
      <c r="E981" s="365"/>
      <c r="F981" s="365"/>
      <c r="G981" s="1"/>
    </row>
    <row r="982" spans="1:7" ht="14.1" customHeight="1">
      <c r="A982" s="624" t="s">
        <v>144</v>
      </c>
      <c r="B982" s="624"/>
      <c r="C982" s="624"/>
      <c r="D982" s="624"/>
      <c r="E982" s="624"/>
      <c r="F982" s="624"/>
      <c r="G982" s="1"/>
    </row>
    <row r="983" spans="1:7" ht="14.1" customHeight="1">
      <c r="A983" s="479"/>
      <c r="B983" s="10"/>
      <c r="C983" s="327"/>
      <c r="D983" s="327"/>
      <c r="E983" s="327"/>
      <c r="F983" s="327"/>
      <c r="G983" s="1"/>
    </row>
    <row r="984" spans="1:7" ht="15.95" customHeight="1">
      <c r="A984" s="480" t="s">
        <v>145</v>
      </c>
      <c r="B984" s="11" t="s">
        <v>146</v>
      </c>
      <c r="C984" s="11" t="s">
        <v>147</v>
      </c>
      <c r="D984" s="11" t="s">
        <v>148</v>
      </c>
      <c r="E984" s="12" t="s">
        <v>149</v>
      </c>
      <c r="F984" s="11" t="s">
        <v>150</v>
      </c>
      <c r="G984" s="1"/>
    </row>
    <row r="985" spans="1:7" ht="14.1" customHeight="1">
      <c r="A985" s="480">
        <v>1</v>
      </c>
      <c r="B985" s="331" t="s">
        <v>1065</v>
      </c>
      <c r="C985" s="332" t="s">
        <v>53</v>
      </c>
      <c r="D985" s="14">
        <v>20</v>
      </c>
      <c r="E985" s="18">
        <f>'MAT 31-10-2013'!R$7</f>
        <v>39.059027777777771</v>
      </c>
      <c r="F985" s="375">
        <f>ROUND(D985*E985, 2)</f>
        <v>781.18</v>
      </c>
      <c r="G985" s="1"/>
    </row>
    <row r="986" spans="1:7" ht="14.1" customHeight="1">
      <c r="A986" s="480">
        <v>2</v>
      </c>
      <c r="B986" s="331" t="s">
        <v>1028</v>
      </c>
      <c r="C986" s="332" t="s">
        <v>325</v>
      </c>
      <c r="D986" s="14">
        <v>6</v>
      </c>
      <c r="E986" s="18">
        <f>Equipos!S$20</f>
        <v>132.98876033057851</v>
      </c>
      <c r="F986" s="375">
        <f t="shared" ref="F986:F996" si="49">ROUND(D986*E986, 2)</f>
        <v>797.93</v>
      </c>
      <c r="G986" s="1"/>
    </row>
    <row r="987" spans="1:7" ht="14.1" customHeight="1">
      <c r="A987" s="480">
        <v>3</v>
      </c>
      <c r="B987" s="331" t="s">
        <v>326</v>
      </c>
      <c r="C987" s="332" t="s">
        <v>325</v>
      </c>
      <c r="D987" s="14">
        <v>8</v>
      </c>
      <c r="E987" s="18">
        <f>Equipos!S$19</f>
        <v>256.28945454545453</v>
      </c>
      <c r="F987" s="375">
        <f t="shared" si="49"/>
        <v>2050.3200000000002</v>
      </c>
      <c r="G987" s="1"/>
    </row>
    <row r="988" spans="1:7" ht="14.1" customHeight="1">
      <c r="A988" s="480">
        <v>4</v>
      </c>
      <c r="B988" s="331" t="s">
        <v>327</v>
      </c>
      <c r="C988" s="332" t="s">
        <v>325</v>
      </c>
      <c r="D988" s="14">
        <v>8</v>
      </c>
      <c r="E988" s="18">
        <f>Equipos!S$24</f>
        <v>302.32601652892561</v>
      </c>
      <c r="F988" s="375">
        <f t="shared" si="49"/>
        <v>2418.61</v>
      </c>
      <c r="G988" s="1"/>
    </row>
    <row r="989" spans="1:7" ht="14.1" customHeight="1">
      <c r="A989" s="480">
        <v>5</v>
      </c>
      <c r="B989" s="331" t="s">
        <v>1066</v>
      </c>
      <c r="C989" s="332" t="s">
        <v>325</v>
      </c>
      <c r="D989" s="14">
        <v>4</v>
      </c>
      <c r="E989" s="18">
        <f>Equipos!S$27</f>
        <v>87.250943093270379</v>
      </c>
      <c r="F989" s="375">
        <f t="shared" si="49"/>
        <v>349</v>
      </c>
      <c r="G989" s="1"/>
    </row>
    <row r="990" spans="1:7" ht="14.1" customHeight="1">
      <c r="A990" s="480">
        <v>6</v>
      </c>
      <c r="B990" s="331"/>
      <c r="C990" s="332"/>
      <c r="D990" s="14"/>
      <c r="E990" s="18"/>
      <c r="F990" s="375">
        <f t="shared" si="49"/>
        <v>0</v>
      </c>
      <c r="G990" s="1"/>
    </row>
    <row r="991" spans="1:7" ht="14.1" customHeight="1">
      <c r="A991" s="480">
        <v>7</v>
      </c>
      <c r="B991" s="220"/>
      <c r="C991" s="324"/>
      <c r="D991" s="14"/>
      <c r="E991" s="18"/>
      <c r="F991" s="375">
        <f t="shared" si="49"/>
        <v>0</v>
      </c>
      <c r="G991" s="1"/>
    </row>
    <row r="992" spans="1:7" ht="14.1" customHeight="1">
      <c r="A992" s="480">
        <v>8</v>
      </c>
      <c r="B992" s="13"/>
      <c r="C992" s="11"/>
      <c r="D992" s="14"/>
      <c r="E992" s="18"/>
      <c r="F992" s="375">
        <f t="shared" si="49"/>
        <v>0</v>
      </c>
      <c r="G992" s="1"/>
    </row>
    <row r="993" spans="1:7" ht="14.1" customHeight="1">
      <c r="A993" s="480">
        <v>9</v>
      </c>
      <c r="B993" s="220"/>
      <c r="C993" s="324"/>
      <c r="D993" s="14"/>
      <c r="E993" s="18"/>
      <c r="F993" s="375">
        <f t="shared" si="49"/>
        <v>0</v>
      </c>
      <c r="G993" s="1"/>
    </row>
    <row r="994" spans="1:7" ht="14.1" customHeight="1">
      <c r="A994" s="480">
        <v>10</v>
      </c>
      <c r="B994" s="201"/>
      <c r="C994" s="11"/>
      <c r="D994" s="14"/>
      <c r="E994" s="18"/>
      <c r="F994" s="375">
        <f t="shared" si="49"/>
        <v>0</v>
      </c>
      <c r="G994" s="1"/>
    </row>
    <row r="995" spans="1:7" ht="14.1" customHeight="1">
      <c r="A995" s="480">
        <v>11</v>
      </c>
      <c r="B995" s="13"/>
      <c r="C995" s="11"/>
      <c r="D995" s="14"/>
      <c r="E995" s="18"/>
      <c r="F995" s="375">
        <f t="shared" si="49"/>
        <v>0</v>
      </c>
      <c r="G995" s="1"/>
    </row>
    <row r="996" spans="1:7" ht="14.1" customHeight="1" thickBot="1">
      <c r="A996" s="480">
        <v>12</v>
      </c>
      <c r="B996" s="13"/>
      <c r="C996" s="11"/>
      <c r="D996" s="11"/>
      <c r="E996" s="18"/>
      <c r="F996" s="375">
        <f t="shared" si="49"/>
        <v>0</v>
      </c>
      <c r="G996" s="1"/>
    </row>
    <row r="997" spans="1:7" ht="14.1" customHeight="1" thickBot="1">
      <c r="A997" s="481"/>
      <c r="B997" s="5"/>
      <c r="C997" s="367"/>
      <c r="D997" s="367"/>
      <c r="E997" s="367" t="s">
        <v>151</v>
      </c>
      <c r="F997" s="376">
        <f>SUM(F985:F996)</f>
        <v>6397.0400000000009</v>
      </c>
      <c r="G997" s="1"/>
    </row>
    <row r="998" spans="1:7" ht="14.1" customHeight="1">
      <c r="A998" s="482"/>
      <c r="B998" s="325"/>
      <c r="C998" s="328"/>
      <c r="D998" s="328"/>
      <c r="E998" s="328"/>
      <c r="F998" s="328"/>
      <c r="G998" s="1"/>
    </row>
    <row r="999" spans="1:7" ht="14.1" customHeight="1">
      <c r="A999" s="625" t="s">
        <v>152</v>
      </c>
      <c r="B999" s="625"/>
      <c r="C999" s="625"/>
      <c r="D999" s="625"/>
      <c r="E999" s="625"/>
      <c r="F999" s="625"/>
      <c r="G999" s="1"/>
    </row>
    <row r="1000" spans="1:7" ht="14.1" customHeight="1">
      <c r="A1000" s="482"/>
      <c r="B1000" s="325"/>
      <c r="C1000" s="328"/>
      <c r="D1000" s="328"/>
      <c r="E1000" s="328"/>
      <c r="F1000" s="367"/>
      <c r="G1000" s="1"/>
    </row>
    <row r="1001" spans="1:7" ht="14.1" customHeight="1">
      <c r="A1001" s="480">
        <v>13</v>
      </c>
      <c r="B1001" s="17" t="s">
        <v>153</v>
      </c>
      <c r="C1001" s="11" t="s">
        <v>154</v>
      </c>
      <c r="D1001" s="382">
        <f>D986+D987+D988</f>
        <v>22</v>
      </c>
      <c r="E1001" s="18">
        <f>'Mano de obra'!$J$20</f>
        <v>82.610000000000014</v>
      </c>
      <c r="F1001" s="375">
        <f>ROUND(D1001*E1001, 2)</f>
        <v>1817.42</v>
      </c>
      <c r="G1001" s="1"/>
    </row>
    <row r="1002" spans="1:7" ht="14.1" customHeight="1">
      <c r="A1002" s="480">
        <v>14</v>
      </c>
      <c r="B1002" s="17" t="s">
        <v>155</v>
      </c>
      <c r="C1002" s="11" t="s">
        <v>154</v>
      </c>
      <c r="D1002" s="330">
        <v>0</v>
      </c>
      <c r="E1002" s="18">
        <f>'Mano de obra'!$J$21</f>
        <v>70.38</v>
      </c>
      <c r="F1002" s="375">
        <f t="shared" ref="F1002:F1005" si="50">ROUND(D1002*E1002, 2)</f>
        <v>0</v>
      </c>
      <c r="G1002" s="1"/>
    </row>
    <row r="1003" spans="1:7" ht="14.1" customHeight="1">
      <c r="A1003" s="480">
        <v>15</v>
      </c>
      <c r="B1003" s="17" t="s">
        <v>156</v>
      </c>
      <c r="C1003" s="11" t="s">
        <v>154</v>
      </c>
      <c r="D1003" s="330">
        <v>0</v>
      </c>
      <c r="E1003" s="18">
        <f>'Mano de obra'!$J$22</f>
        <v>64.78</v>
      </c>
      <c r="F1003" s="375">
        <f t="shared" si="50"/>
        <v>0</v>
      </c>
      <c r="G1003" s="1"/>
    </row>
    <row r="1004" spans="1:7" ht="14.1" customHeight="1">
      <c r="A1004" s="480">
        <v>16</v>
      </c>
      <c r="B1004" s="17" t="s">
        <v>157</v>
      </c>
      <c r="C1004" s="11" t="s">
        <v>154</v>
      </c>
      <c r="D1004" s="382">
        <f>D1001</f>
        <v>22</v>
      </c>
      <c r="E1004" s="18">
        <f>'Mano de obra'!$J$23</f>
        <v>59.800000000000004</v>
      </c>
      <c r="F1004" s="375">
        <f t="shared" si="50"/>
        <v>1315.6</v>
      </c>
      <c r="G1004" s="1"/>
    </row>
    <row r="1005" spans="1:7" ht="14.1" customHeight="1" thickBot="1">
      <c r="A1005" s="480">
        <v>17</v>
      </c>
      <c r="B1005" s="13"/>
      <c r="C1005" s="11"/>
      <c r="D1005" s="11"/>
      <c r="E1005" s="18"/>
      <c r="F1005" s="375">
        <f t="shared" si="50"/>
        <v>0</v>
      </c>
      <c r="G1005" s="1"/>
    </row>
    <row r="1006" spans="1:7" ht="14.1" customHeight="1" thickBot="1">
      <c r="A1006" s="483"/>
      <c r="B1006" s="325"/>
      <c r="C1006" s="328"/>
      <c r="D1006" s="328"/>
      <c r="E1006" s="367" t="s">
        <v>158</v>
      </c>
      <c r="F1006" s="376">
        <f>SUM(F1001:F1005)</f>
        <v>3133.02</v>
      </c>
      <c r="G1006" s="1"/>
    </row>
    <row r="1007" spans="1:7" ht="14.1" customHeight="1" thickBot="1">
      <c r="A1007" s="484"/>
      <c r="B1007" s="325"/>
      <c r="C1007" s="328"/>
      <c r="D1007" s="328"/>
      <c r="E1007" s="328"/>
      <c r="F1007" s="367"/>
      <c r="G1007" s="1"/>
    </row>
    <row r="1008" spans="1:7" ht="14.1" customHeight="1" thickBot="1">
      <c r="A1008" s="480"/>
      <c r="B1008" s="142" t="s">
        <v>273</v>
      </c>
      <c r="C1008" s="369"/>
      <c r="D1008" s="369"/>
      <c r="E1008" s="377" t="s">
        <v>159</v>
      </c>
      <c r="F1008" s="376">
        <f>SUM(F997+F1006)</f>
        <v>9530.0600000000013</v>
      </c>
      <c r="G1008" s="1"/>
    </row>
    <row r="1009" spans="1:7" ht="15" customHeight="1">
      <c r="A1009" s="626"/>
      <c r="B1009" s="627" t="s">
        <v>274</v>
      </c>
      <c r="C1009" s="628"/>
      <c r="D1009" s="628"/>
      <c r="E1009" s="629" t="s">
        <v>275</v>
      </c>
      <c r="F1009" s="631">
        <f>ROUND(F1008*'Coef. resumen'!$F$23, 2)</f>
        <v>14123.55</v>
      </c>
    </row>
    <row r="1010" spans="1:7" ht="15" customHeight="1" thickBot="1">
      <c r="A1010" s="626"/>
      <c r="B1010" s="627"/>
      <c r="C1010" s="628"/>
      <c r="D1010" s="628"/>
      <c r="E1010" s="630"/>
      <c r="F1010" s="632"/>
    </row>
    <row r="1011" spans="1:7" ht="15">
      <c r="A1011" s="471"/>
      <c r="B1011" s="2"/>
      <c r="C1011" s="329"/>
      <c r="D1011" s="329"/>
      <c r="E1011" s="329"/>
      <c r="F1011" s="329"/>
    </row>
    <row r="1012" spans="1:7" ht="15">
      <c r="A1012" s="471"/>
      <c r="B1012" s="2"/>
      <c r="C1012" s="329"/>
      <c r="D1012" s="329"/>
      <c r="E1012" s="329"/>
      <c r="F1012" s="329"/>
    </row>
    <row r="1013" spans="1:7" ht="15">
      <c r="A1013" s="471"/>
      <c r="B1013" s="194" t="str">
        <f>'Coef. resumen'!$B$30</f>
        <v>Julián Antonelli</v>
      </c>
      <c r="C1013" s="524"/>
      <c r="D1013" s="524"/>
      <c r="E1013" s="194" t="str">
        <f>'Coef. resumen'!$E$30</f>
        <v>Marcelo A. Pasquini</v>
      </c>
      <c r="F1013" s="329"/>
    </row>
    <row r="1014" spans="1:7" ht="15">
      <c r="A1014" s="471"/>
      <c r="B1014" s="194" t="str">
        <f>'Coef. resumen'!$B$31</f>
        <v>Ing. Civil M.P. 2161</v>
      </c>
      <c r="C1014" s="524"/>
      <c r="D1014" s="524"/>
      <c r="E1014" s="194" t="str">
        <f>'Coef. resumen'!$E$31</f>
        <v>Socio Gerente</v>
      </c>
      <c r="F1014" s="329"/>
    </row>
    <row r="1015" spans="1:7" ht="15">
      <c r="A1015" s="471"/>
      <c r="B1015" s="194" t="str">
        <f>'Coef. resumen'!$B$32</f>
        <v>Representante Técnico</v>
      </c>
      <c r="C1015" s="524"/>
      <c r="D1015" s="19"/>
      <c r="E1015" s="194" t="str">
        <f>'Coef. resumen'!$E$32</f>
        <v>Pasquini Construcciones SRL</v>
      </c>
      <c r="F1015" s="329"/>
    </row>
    <row r="1016" spans="1:7" ht="15">
      <c r="A1016" s="471"/>
      <c r="B1016" s="194"/>
      <c r="C1016" s="329"/>
      <c r="D1016" s="19"/>
      <c r="E1016" s="194"/>
      <c r="F1016" s="329"/>
    </row>
    <row r="1017" spans="1:7" ht="14.1" customHeight="1">
      <c r="A1017" s="477" t="s">
        <v>142</v>
      </c>
      <c r="B1017" s="613" t="str">
        <f>Presupuesto!B51</f>
        <v>Drenes bajo cisterna</v>
      </c>
      <c r="C1017" s="614"/>
      <c r="D1017" s="615"/>
      <c r="E1017" s="367" t="s">
        <v>143</v>
      </c>
      <c r="F1017" s="30" t="str">
        <f>Presupuesto!C51</f>
        <v>ml</v>
      </c>
      <c r="G1017" s="1"/>
    </row>
    <row r="1018" spans="1:7" ht="14.1" customHeight="1">
      <c r="A1018" s="622" t="str">
        <f>Presupuesto!A51</f>
        <v>1.7.2</v>
      </c>
      <c r="B1018" s="616"/>
      <c r="C1018" s="617"/>
      <c r="D1018" s="618"/>
      <c r="E1018" s="367"/>
      <c r="F1018" s="367"/>
      <c r="G1018" s="1"/>
    </row>
    <row r="1019" spans="1:7" ht="14.1" customHeight="1">
      <c r="A1019" s="622"/>
      <c r="B1019" s="616"/>
      <c r="C1019" s="617"/>
      <c r="D1019" s="618"/>
      <c r="E1019" s="367"/>
      <c r="F1019" s="367"/>
      <c r="G1019" s="1"/>
    </row>
    <row r="1020" spans="1:7" ht="14.1" customHeight="1">
      <c r="A1020" s="623"/>
      <c r="B1020" s="619"/>
      <c r="C1020" s="620"/>
      <c r="D1020" s="621"/>
      <c r="E1020" s="367"/>
      <c r="F1020" s="367"/>
      <c r="G1020" s="1"/>
    </row>
    <row r="1021" spans="1:7" ht="14.1" customHeight="1">
      <c r="A1021" s="478"/>
      <c r="B1021" s="29"/>
      <c r="C1021" s="368"/>
      <c r="D1021" s="368"/>
      <c r="E1021" s="365"/>
      <c r="F1021" s="365"/>
      <c r="G1021" s="1"/>
    </row>
    <row r="1022" spans="1:7" ht="14.1" customHeight="1">
      <c r="A1022" s="624" t="s">
        <v>144</v>
      </c>
      <c r="B1022" s="624"/>
      <c r="C1022" s="624"/>
      <c r="D1022" s="624"/>
      <c r="E1022" s="624"/>
      <c r="F1022" s="624"/>
      <c r="G1022" s="1"/>
    </row>
    <row r="1023" spans="1:7" ht="14.1" customHeight="1">
      <c r="A1023" s="479"/>
      <c r="B1023" s="10"/>
      <c r="C1023" s="327"/>
      <c r="D1023" s="327"/>
      <c r="E1023" s="327"/>
      <c r="F1023" s="327"/>
      <c r="G1023" s="1"/>
    </row>
    <row r="1024" spans="1:7" ht="15.95" customHeight="1">
      <c r="A1024" s="480" t="s">
        <v>145</v>
      </c>
      <c r="B1024" s="11" t="s">
        <v>146</v>
      </c>
      <c r="C1024" s="11" t="s">
        <v>147</v>
      </c>
      <c r="D1024" s="11" t="s">
        <v>148</v>
      </c>
      <c r="E1024" s="12" t="s">
        <v>149</v>
      </c>
      <c r="F1024" s="11" t="s">
        <v>150</v>
      </c>
      <c r="G1024" s="1"/>
    </row>
    <row r="1025" spans="1:7" ht="14.1" customHeight="1">
      <c r="A1025" s="480">
        <v>1</v>
      </c>
      <c r="B1025" s="331" t="s">
        <v>1067</v>
      </c>
      <c r="C1025" s="332" t="s">
        <v>4</v>
      </c>
      <c r="D1025" s="14">
        <v>1.05</v>
      </c>
      <c r="E1025" s="18">
        <f>'MAT 31-10-2013'!R$202/6</f>
        <v>29.014114583333335</v>
      </c>
      <c r="F1025" s="375">
        <f>ROUND(D1025*E1025, 2)</f>
        <v>30.46</v>
      </c>
      <c r="G1025" s="1"/>
    </row>
    <row r="1026" spans="1:7" ht="14.1" customHeight="1">
      <c r="A1026" s="480">
        <v>2</v>
      </c>
      <c r="B1026" s="331" t="s">
        <v>1068</v>
      </c>
      <c r="C1026" s="332" t="s">
        <v>1026</v>
      </c>
      <c r="D1026" s="14">
        <v>1</v>
      </c>
      <c r="E1026" s="18">
        <f>0.25*F1025</f>
        <v>7.6150000000000002</v>
      </c>
      <c r="F1026" s="375">
        <f t="shared" ref="F1026:F1036" si="51">ROUND(D1026*E1026, 2)</f>
        <v>7.62</v>
      </c>
      <c r="G1026" s="1"/>
    </row>
    <row r="1027" spans="1:7" ht="14.1" customHeight="1">
      <c r="A1027" s="480">
        <v>3</v>
      </c>
      <c r="B1027" s="331"/>
      <c r="C1027" s="332"/>
      <c r="D1027" s="14"/>
      <c r="E1027" s="18"/>
      <c r="F1027" s="375">
        <f t="shared" si="51"/>
        <v>0</v>
      </c>
      <c r="G1027" s="1"/>
    </row>
    <row r="1028" spans="1:7" ht="14.1" customHeight="1">
      <c r="A1028" s="480">
        <v>4</v>
      </c>
      <c r="B1028" s="331"/>
      <c r="C1028" s="332"/>
      <c r="D1028" s="14"/>
      <c r="E1028" s="18"/>
      <c r="F1028" s="375">
        <f t="shared" si="51"/>
        <v>0</v>
      </c>
      <c r="G1028" s="1"/>
    </row>
    <row r="1029" spans="1:7" ht="14.1" customHeight="1">
      <c r="A1029" s="480">
        <v>5</v>
      </c>
      <c r="B1029" s="331"/>
      <c r="C1029" s="332"/>
      <c r="D1029" s="14"/>
      <c r="E1029" s="18"/>
      <c r="F1029" s="375">
        <f t="shared" si="51"/>
        <v>0</v>
      </c>
      <c r="G1029" s="1"/>
    </row>
    <row r="1030" spans="1:7" ht="14.1" customHeight="1">
      <c r="A1030" s="480">
        <v>6</v>
      </c>
      <c r="B1030" s="331"/>
      <c r="C1030" s="332"/>
      <c r="D1030" s="14"/>
      <c r="E1030" s="18"/>
      <c r="F1030" s="375">
        <f t="shared" si="51"/>
        <v>0</v>
      </c>
      <c r="G1030" s="1"/>
    </row>
    <row r="1031" spans="1:7" ht="14.1" customHeight="1">
      <c r="A1031" s="480">
        <v>7</v>
      </c>
      <c r="B1031" s="220"/>
      <c r="C1031" s="324"/>
      <c r="D1031" s="14"/>
      <c r="E1031" s="18"/>
      <c r="F1031" s="375">
        <f t="shared" si="51"/>
        <v>0</v>
      </c>
      <c r="G1031" s="1"/>
    </row>
    <row r="1032" spans="1:7" ht="14.1" customHeight="1">
      <c r="A1032" s="480">
        <v>8</v>
      </c>
      <c r="B1032" s="13"/>
      <c r="C1032" s="11"/>
      <c r="D1032" s="14"/>
      <c r="E1032" s="18"/>
      <c r="F1032" s="375">
        <f t="shared" si="51"/>
        <v>0</v>
      </c>
      <c r="G1032" s="1"/>
    </row>
    <row r="1033" spans="1:7" ht="14.1" customHeight="1">
      <c r="A1033" s="480">
        <v>9</v>
      </c>
      <c r="B1033" s="220"/>
      <c r="C1033" s="324"/>
      <c r="D1033" s="14"/>
      <c r="E1033" s="18"/>
      <c r="F1033" s="375">
        <f t="shared" si="51"/>
        <v>0</v>
      </c>
      <c r="G1033" s="1"/>
    </row>
    <row r="1034" spans="1:7" ht="14.1" customHeight="1">
      <c r="A1034" s="480">
        <v>10</v>
      </c>
      <c r="B1034" s="201"/>
      <c r="C1034" s="11"/>
      <c r="D1034" s="14"/>
      <c r="E1034" s="18"/>
      <c r="F1034" s="375">
        <f t="shared" si="51"/>
        <v>0</v>
      </c>
      <c r="G1034" s="1"/>
    </row>
    <row r="1035" spans="1:7" ht="14.1" customHeight="1">
      <c r="A1035" s="480">
        <v>11</v>
      </c>
      <c r="B1035" s="13"/>
      <c r="C1035" s="11"/>
      <c r="D1035" s="14"/>
      <c r="E1035" s="18"/>
      <c r="F1035" s="375">
        <f t="shared" si="51"/>
        <v>0</v>
      </c>
      <c r="G1035" s="1"/>
    </row>
    <row r="1036" spans="1:7" ht="14.1" customHeight="1" thickBot="1">
      <c r="A1036" s="480">
        <v>12</v>
      </c>
      <c r="B1036" s="13"/>
      <c r="C1036" s="11"/>
      <c r="D1036" s="11"/>
      <c r="E1036" s="18"/>
      <c r="F1036" s="375">
        <f t="shared" si="51"/>
        <v>0</v>
      </c>
      <c r="G1036" s="1"/>
    </row>
    <row r="1037" spans="1:7" ht="14.1" customHeight="1" thickBot="1">
      <c r="A1037" s="481"/>
      <c r="B1037" s="5"/>
      <c r="C1037" s="367"/>
      <c r="D1037" s="367"/>
      <c r="E1037" s="367" t="s">
        <v>151</v>
      </c>
      <c r="F1037" s="376">
        <f>SUM(F1025:F1036)</f>
        <v>38.08</v>
      </c>
      <c r="G1037" s="1"/>
    </row>
    <row r="1038" spans="1:7" ht="14.1" customHeight="1">
      <c r="A1038" s="482"/>
      <c r="B1038" s="325"/>
      <c r="C1038" s="328"/>
      <c r="D1038" s="328"/>
      <c r="E1038" s="328"/>
      <c r="F1038" s="328"/>
      <c r="G1038" s="1"/>
    </row>
    <row r="1039" spans="1:7" ht="14.1" customHeight="1">
      <c r="A1039" s="625" t="s">
        <v>152</v>
      </c>
      <c r="B1039" s="625"/>
      <c r="C1039" s="625"/>
      <c r="D1039" s="625"/>
      <c r="E1039" s="625"/>
      <c r="F1039" s="625"/>
      <c r="G1039" s="1"/>
    </row>
    <row r="1040" spans="1:7" ht="14.1" customHeight="1">
      <c r="A1040" s="482"/>
      <c r="B1040" s="325"/>
      <c r="C1040" s="328"/>
      <c r="D1040" s="328"/>
      <c r="E1040" s="328"/>
      <c r="F1040" s="367"/>
      <c r="G1040" s="1"/>
    </row>
    <row r="1041" spans="1:7" ht="14.1" customHeight="1">
      <c r="A1041" s="480">
        <v>13</v>
      </c>
      <c r="B1041" s="17" t="s">
        <v>153</v>
      </c>
      <c r="C1041" s="11" t="s">
        <v>154</v>
      </c>
      <c r="D1041" s="382">
        <v>0.4</v>
      </c>
      <c r="E1041" s="18">
        <f>'Mano de obra'!$J$20</f>
        <v>82.610000000000014</v>
      </c>
      <c r="F1041" s="375">
        <f>ROUND(D1041*E1041, 2)</f>
        <v>33.04</v>
      </c>
      <c r="G1041" s="1"/>
    </row>
    <row r="1042" spans="1:7" ht="14.1" customHeight="1">
      <c r="A1042" s="480">
        <v>14</v>
      </c>
      <c r="B1042" s="17" t="s">
        <v>155</v>
      </c>
      <c r="C1042" s="11" t="s">
        <v>154</v>
      </c>
      <c r="D1042" s="330">
        <v>0</v>
      </c>
      <c r="E1042" s="18">
        <f>'Mano de obra'!$J$21</f>
        <v>70.38</v>
      </c>
      <c r="F1042" s="375">
        <f t="shared" ref="F1042:F1045" si="52">ROUND(D1042*E1042, 2)</f>
        <v>0</v>
      </c>
      <c r="G1042" s="1"/>
    </row>
    <row r="1043" spans="1:7" ht="14.1" customHeight="1">
      <c r="A1043" s="480">
        <v>15</v>
      </c>
      <c r="B1043" s="17" t="s">
        <v>156</v>
      </c>
      <c r="C1043" s="11" t="s">
        <v>154</v>
      </c>
      <c r="D1043" s="330">
        <v>0</v>
      </c>
      <c r="E1043" s="18">
        <f>'Mano de obra'!$J$22</f>
        <v>64.78</v>
      </c>
      <c r="F1043" s="375">
        <f t="shared" si="52"/>
        <v>0</v>
      </c>
      <c r="G1043" s="1"/>
    </row>
    <row r="1044" spans="1:7" ht="14.1" customHeight="1">
      <c r="A1044" s="480">
        <v>16</v>
      </c>
      <c r="B1044" s="17" t="s">
        <v>157</v>
      </c>
      <c r="C1044" s="11" t="s">
        <v>154</v>
      </c>
      <c r="D1044" s="382">
        <v>0.2</v>
      </c>
      <c r="E1044" s="18">
        <f>'Mano de obra'!$J$23</f>
        <v>59.800000000000004</v>
      </c>
      <c r="F1044" s="375">
        <f t="shared" si="52"/>
        <v>11.96</v>
      </c>
      <c r="G1044" s="1"/>
    </row>
    <row r="1045" spans="1:7" ht="14.1" customHeight="1" thickBot="1">
      <c r="A1045" s="480">
        <v>17</v>
      </c>
      <c r="B1045" s="13"/>
      <c r="C1045" s="11"/>
      <c r="D1045" s="11"/>
      <c r="E1045" s="18"/>
      <c r="F1045" s="375">
        <f t="shared" si="52"/>
        <v>0</v>
      </c>
      <c r="G1045" s="1"/>
    </row>
    <row r="1046" spans="1:7" ht="14.1" customHeight="1" thickBot="1">
      <c r="A1046" s="483"/>
      <c r="B1046" s="325"/>
      <c r="C1046" s="328"/>
      <c r="D1046" s="328"/>
      <c r="E1046" s="367" t="s">
        <v>158</v>
      </c>
      <c r="F1046" s="376">
        <f>SUM(F1041:F1045)</f>
        <v>45</v>
      </c>
      <c r="G1046" s="1"/>
    </row>
    <row r="1047" spans="1:7" ht="14.1" customHeight="1" thickBot="1">
      <c r="A1047" s="484"/>
      <c r="B1047" s="325"/>
      <c r="C1047" s="328"/>
      <c r="D1047" s="328"/>
      <c r="E1047" s="328"/>
      <c r="F1047" s="367"/>
      <c r="G1047" s="1"/>
    </row>
    <row r="1048" spans="1:7" ht="14.1" customHeight="1" thickBot="1">
      <c r="A1048" s="480"/>
      <c r="B1048" s="142" t="s">
        <v>273</v>
      </c>
      <c r="C1048" s="369"/>
      <c r="D1048" s="369"/>
      <c r="E1048" s="377" t="s">
        <v>159</v>
      </c>
      <c r="F1048" s="376">
        <f>SUM(F1037+F1046)</f>
        <v>83.08</v>
      </c>
      <c r="G1048" s="1"/>
    </row>
    <row r="1049" spans="1:7" ht="15" customHeight="1">
      <c r="A1049" s="626"/>
      <c r="B1049" s="627" t="s">
        <v>274</v>
      </c>
      <c r="C1049" s="628"/>
      <c r="D1049" s="628"/>
      <c r="E1049" s="629" t="s">
        <v>275</v>
      </c>
      <c r="F1049" s="631">
        <f>ROUND(F1048*'Coef. resumen'!$F$23, 2)</f>
        <v>123.12</v>
      </c>
    </row>
    <row r="1050" spans="1:7" ht="15" customHeight="1" thickBot="1">
      <c r="A1050" s="626"/>
      <c r="B1050" s="627"/>
      <c r="C1050" s="628"/>
      <c r="D1050" s="628"/>
      <c r="E1050" s="630"/>
      <c r="F1050" s="632"/>
    </row>
    <row r="1051" spans="1:7" ht="15">
      <c r="A1051" s="471"/>
      <c r="B1051" s="2"/>
      <c r="C1051" s="329"/>
      <c r="D1051" s="329"/>
      <c r="E1051" s="329"/>
      <c r="F1051" s="329"/>
    </row>
    <row r="1052" spans="1:7" ht="15">
      <c r="A1052" s="471"/>
      <c r="B1052" s="2"/>
      <c r="C1052" s="329"/>
      <c r="D1052" s="329"/>
      <c r="E1052" s="329"/>
      <c r="F1052" s="329"/>
    </row>
    <row r="1053" spans="1:7" ht="15">
      <c r="A1053" s="471"/>
      <c r="B1053" s="194" t="str">
        <f>'Coef. resumen'!$B$30</f>
        <v>Julián Antonelli</v>
      </c>
      <c r="C1053" s="524"/>
      <c r="D1053" s="524"/>
      <c r="E1053" s="194" t="str">
        <f>'Coef. resumen'!$E$30</f>
        <v>Marcelo A. Pasquini</v>
      </c>
      <c r="F1053" s="329"/>
    </row>
    <row r="1054" spans="1:7" ht="15">
      <c r="A1054" s="471"/>
      <c r="B1054" s="194" t="str">
        <f>'Coef. resumen'!$B$31</f>
        <v>Ing. Civil M.P. 2161</v>
      </c>
      <c r="C1054" s="524"/>
      <c r="D1054" s="524"/>
      <c r="E1054" s="194" t="str">
        <f>'Coef. resumen'!$E$31</f>
        <v>Socio Gerente</v>
      </c>
      <c r="F1054" s="329"/>
    </row>
    <row r="1055" spans="1:7" ht="15">
      <c r="A1055" s="471"/>
      <c r="B1055" s="194" t="str">
        <f>'Coef. resumen'!$B$32</f>
        <v>Representante Técnico</v>
      </c>
      <c r="C1055" s="524"/>
      <c r="D1055" s="19"/>
      <c r="E1055" s="194" t="str">
        <f>'Coef. resumen'!$E$32</f>
        <v>Pasquini Construcciones SRL</v>
      </c>
      <c r="F1055" s="329"/>
    </row>
    <row r="1056" spans="1:7" ht="15">
      <c r="A1056" s="471"/>
      <c r="B1056" s="194"/>
      <c r="C1056" s="329"/>
      <c r="D1056" s="19"/>
      <c r="E1056" s="194"/>
      <c r="F1056" s="329"/>
    </row>
    <row r="1057" spans="1:7" ht="14.1" customHeight="1">
      <c r="A1057" s="477" t="s">
        <v>142</v>
      </c>
      <c r="B1057" s="613" t="str">
        <f>Presupuesto!B52</f>
        <v>Hormigón de limpieza en asiento de fundaciones</v>
      </c>
      <c r="C1057" s="614"/>
      <c r="D1057" s="615"/>
      <c r="E1057" s="367" t="s">
        <v>143</v>
      </c>
      <c r="F1057" s="30" t="str">
        <f>Presupuesto!C52</f>
        <v>m³</v>
      </c>
      <c r="G1057" s="1"/>
    </row>
    <row r="1058" spans="1:7" ht="14.1" customHeight="1">
      <c r="A1058" s="622" t="str">
        <f>Presupuesto!A52</f>
        <v>1.7.3</v>
      </c>
      <c r="B1058" s="616"/>
      <c r="C1058" s="617"/>
      <c r="D1058" s="618"/>
      <c r="E1058" s="367"/>
      <c r="F1058" s="367"/>
      <c r="G1058" s="1"/>
    </row>
    <row r="1059" spans="1:7" ht="14.1" customHeight="1">
      <c r="A1059" s="622"/>
      <c r="B1059" s="616"/>
      <c r="C1059" s="617"/>
      <c r="D1059" s="618"/>
      <c r="E1059" s="367"/>
      <c r="F1059" s="367"/>
      <c r="G1059" s="1"/>
    </row>
    <row r="1060" spans="1:7" ht="14.1" customHeight="1">
      <c r="A1060" s="623"/>
      <c r="B1060" s="619"/>
      <c r="C1060" s="620"/>
      <c r="D1060" s="621"/>
      <c r="E1060" s="367"/>
      <c r="F1060" s="367"/>
      <c r="G1060" s="1"/>
    </row>
    <row r="1061" spans="1:7" ht="14.1" customHeight="1">
      <c r="A1061" s="478"/>
      <c r="B1061" s="29"/>
      <c r="C1061" s="368"/>
      <c r="D1061" s="368"/>
      <c r="E1061" s="365"/>
      <c r="F1061" s="365"/>
      <c r="G1061" s="1"/>
    </row>
    <row r="1062" spans="1:7" ht="14.1" customHeight="1">
      <c r="A1062" s="624" t="s">
        <v>144</v>
      </c>
      <c r="B1062" s="624"/>
      <c r="C1062" s="624"/>
      <c r="D1062" s="624"/>
      <c r="E1062" s="624"/>
      <c r="F1062" s="624"/>
      <c r="G1062" s="1"/>
    </row>
    <row r="1063" spans="1:7" ht="14.1" customHeight="1">
      <c r="A1063" s="479"/>
      <c r="B1063" s="10"/>
      <c r="C1063" s="327"/>
      <c r="D1063" s="327"/>
      <c r="E1063" s="327"/>
      <c r="F1063" s="327"/>
      <c r="G1063" s="1"/>
    </row>
    <row r="1064" spans="1:7" ht="15.95" customHeight="1">
      <c r="A1064" s="480" t="s">
        <v>145</v>
      </c>
      <c r="B1064" s="11" t="s">
        <v>146</v>
      </c>
      <c r="C1064" s="11" t="s">
        <v>147</v>
      </c>
      <c r="D1064" s="11" t="s">
        <v>148</v>
      </c>
      <c r="E1064" s="12" t="s">
        <v>149</v>
      </c>
      <c r="F1064" s="11" t="s">
        <v>150</v>
      </c>
      <c r="G1064" s="1"/>
    </row>
    <row r="1065" spans="1:7" ht="14.1" customHeight="1">
      <c r="A1065" s="480">
        <v>1</v>
      </c>
      <c r="B1065" s="384" t="s">
        <v>1002</v>
      </c>
      <c r="C1065" s="305" t="s">
        <v>362</v>
      </c>
      <c r="D1065" s="385">
        <v>150</v>
      </c>
      <c r="E1065" s="18">
        <f>'MAT 31-10-2013'!R$14</f>
        <v>1.013611111111111</v>
      </c>
      <c r="F1065" s="375">
        <f>ROUND(D1065*E1065, 2)</f>
        <v>152.04</v>
      </c>
      <c r="G1065" s="1"/>
    </row>
    <row r="1066" spans="1:7" ht="14.1" customHeight="1">
      <c r="A1066" s="480">
        <v>2</v>
      </c>
      <c r="B1066" s="384" t="s">
        <v>1070</v>
      </c>
      <c r="C1066" s="305" t="s">
        <v>53</v>
      </c>
      <c r="D1066" s="385">
        <v>0.65</v>
      </c>
      <c r="E1066" s="18">
        <f>'MAT 31-10-2013'!R$5</f>
        <v>39.059027777777771</v>
      </c>
      <c r="F1066" s="375">
        <f t="shared" ref="F1066:F1076" si="53">ROUND(D1066*E1066, 2)</f>
        <v>25.39</v>
      </c>
      <c r="G1066" s="1"/>
    </row>
    <row r="1067" spans="1:7" ht="14.1" customHeight="1">
      <c r="A1067" s="480">
        <v>3</v>
      </c>
      <c r="B1067" s="384" t="s">
        <v>1071</v>
      </c>
      <c r="C1067" s="305" t="s">
        <v>53</v>
      </c>
      <c r="D1067" s="385">
        <v>0.65</v>
      </c>
      <c r="E1067" s="18">
        <f>'MAT 31-10-2013'!R$7</f>
        <v>39.059027777777771</v>
      </c>
      <c r="F1067" s="375">
        <f t="shared" si="53"/>
        <v>25.39</v>
      </c>
      <c r="G1067" s="1"/>
    </row>
    <row r="1068" spans="1:7" ht="14.1" customHeight="1">
      <c r="A1068" s="480">
        <v>4</v>
      </c>
      <c r="B1068" s="384" t="s">
        <v>1003</v>
      </c>
      <c r="C1068" s="305" t="s">
        <v>362</v>
      </c>
      <c r="D1068" s="385">
        <v>0</v>
      </c>
      <c r="E1068" s="18">
        <f>'MAT 31-10-2013'!R$32</f>
        <v>11.376875</v>
      </c>
      <c r="F1068" s="375">
        <f t="shared" si="53"/>
        <v>0</v>
      </c>
      <c r="G1068" s="1"/>
    </row>
    <row r="1069" spans="1:7" ht="14.1" customHeight="1">
      <c r="A1069" s="480">
        <v>5</v>
      </c>
      <c r="B1069" s="384" t="s">
        <v>1072</v>
      </c>
      <c r="C1069" s="305" t="s">
        <v>362</v>
      </c>
      <c r="D1069" s="385">
        <v>4</v>
      </c>
      <c r="E1069" s="18">
        <f>'MAT 31-10-2013'!R$35</f>
        <v>18.193777777777775</v>
      </c>
      <c r="F1069" s="375">
        <f t="shared" si="53"/>
        <v>72.78</v>
      </c>
      <c r="G1069" s="1"/>
    </row>
    <row r="1070" spans="1:7" ht="14.1" customHeight="1">
      <c r="A1070" s="480">
        <v>6</v>
      </c>
      <c r="B1070" s="384" t="s">
        <v>1074</v>
      </c>
      <c r="C1070" s="305" t="s">
        <v>329</v>
      </c>
      <c r="D1070" s="385">
        <v>15</v>
      </c>
      <c r="E1070" s="18">
        <f>'MAT 31-10-2013'!R$80</f>
        <v>6.75</v>
      </c>
      <c r="F1070" s="375">
        <f t="shared" si="53"/>
        <v>101.25</v>
      </c>
      <c r="G1070" s="1"/>
    </row>
    <row r="1071" spans="1:7" ht="14.1" customHeight="1">
      <c r="A1071" s="480">
        <v>7</v>
      </c>
      <c r="B1071" s="384" t="s">
        <v>1073</v>
      </c>
      <c r="C1071" s="305" t="s">
        <v>362</v>
      </c>
      <c r="D1071" s="385">
        <v>4</v>
      </c>
      <c r="E1071" s="18">
        <f>'MAT 31-10-2013'!R$37</f>
        <v>16.809374999999999</v>
      </c>
      <c r="F1071" s="375">
        <f t="shared" si="53"/>
        <v>67.239999999999995</v>
      </c>
      <c r="G1071" s="1"/>
    </row>
    <row r="1072" spans="1:7" ht="14.1" customHeight="1">
      <c r="A1072" s="480">
        <v>8</v>
      </c>
      <c r="B1072" s="13"/>
      <c r="C1072" s="11"/>
      <c r="D1072" s="14"/>
      <c r="E1072" s="18"/>
      <c r="F1072" s="375">
        <f t="shared" si="53"/>
        <v>0</v>
      </c>
      <c r="G1072" s="1"/>
    </row>
    <row r="1073" spans="1:7" ht="14.1" customHeight="1">
      <c r="A1073" s="480">
        <v>9</v>
      </c>
      <c r="B1073" s="220"/>
      <c r="C1073" s="324"/>
      <c r="D1073" s="14"/>
      <c r="E1073" s="18"/>
      <c r="F1073" s="375">
        <f t="shared" si="53"/>
        <v>0</v>
      </c>
      <c r="G1073" s="1"/>
    </row>
    <row r="1074" spans="1:7" ht="14.1" customHeight="1">
      <c r="A1074" s="480">
        <v>10</v>
      </c>
      <c r="B1074" s="201"/>
      <c r="C1074" s="11"/>
      <c r="D1074" s="14"/>
      <c r="E1074" s="18"/>
      <c r="F1074" s="375">
        <f t="shared" si="53"/>
        <v>0</v>
      </c>
      <c r="G1074" s="1"/>
    </row>
    <row r="1075" spans="1:7" ht="14.1" customHeight="1">
      <c r="A1075" s="480">
        <v>11</v>
      </c>
      <c r="B1075" s="13"/>
      <c r="C1075" s="11"/>
      <c r="D1075" s="14"/>
      <c r="E1075" s="18"/>
      <c r="F1075" s="375">
        <f t="shared" si="53"/>
        <v>0</v>
      </c>
      <c r="G1075" s="1"/>
    </row>
    <row r="1076" spans="1:7" ht="14.1" customHeight="1" thickBot="1">
      <c r="A1076" s="480">
        <v>12</v>
      </c>
      <c r="B1076" s="13"/>
      <c r="C1076" s="11"/>
      <c r="D1076" s="11"/>
      <c r="E1076" s="18"/>
      <c r="F1076" s="375">
        <f t="shared" si="53"/>
        <v>0</v>
      </c>
      <c r="G1076" s="1"/>
    </row>
    <row r="1077" spans="1:7" ht="14.1" customHeight="1" thickBot="1">
      <c r="A1077" s="481"/>
      <c r="B1077" s="5"/>
      <c r="C1077" s="367"/>
      <c r="D1077" s="367"/>
      <c r="E1077" s="367" t="s">
        <v>151</v>
      </c>
      <c r="F1077" s="376">
        <f>SUM(F1065:F1076)</f>
        <v>444.09000000000003</v>
      </c>
      <c r="G1077" s="1"/>
    </row>
    <row r="1078" spans="1:7" ht="14.1" customHeight="1">
      <c r="A1078" s="482"/>
      <c r="B1078" s="325"/>
      <c r="C1078" s="328"/>
      <c r="D1078" s="328"/>
      <c r="E1078" s="328"/>
      <c r="F1078" s="328"/>
      <c r="G1078" s="1"/>
    </row>
    <row r="1079" spans="1:7" ht="14.1" customHeight="1">
      <c r="A1079" s="625" t="s">
        <v>152</v>
      </c>
      <c r="B1079" s="625"/>
      <c r="C1079" s="625"/>
      <c r="D1079" s="625"/>
      <c r="E1079" s="625"/>
      <c r="F1079" s="625"/>
      <c r="G1079" s="1"/>
    </row>
    <row r="1080" spans="1:7" ht="14.1" customHeight="1">
      <c r="A1080" s="482"/>
      <c r="B1080" s="325"/>
      <c r="C1080" s="328"/>
      <c r="D1080" s="328"/>
      <c r="E1080" s="328"/>
      <c r="F1080" s="367"/>
      <c r="G1080" s="1"/>
    </row>
    <row r="1081" spans="1:7" ht="14.1" customHeight="1">
      <c r="A1081" s="480">
        <v>13</v>
      </c>
      <c r="B1081" s="17" t="s">
        <v>153</v>
      </c>
      <c r="C1081" s="11" t="s">
        <v>154</v>
      </c>
      <c r="D1081" s="382">
        <v>0</v>
      </c>
      <c r="E1081" s="18">
        <f>'Mano de obra'!$J$20</f>
        <v>82.610000000000014</v>
      </c>
      <c r="F1081" s="375">
        <f>ROUND(D1081*E1081, 2)</f>
        <v>0</v>
      </c>
      <c r="G1081" s="1"/>
    </row>
    <row r="1082" spans="1:7" ht="14.1" customHeight="1">
      <c r="A1082" s="480">
        <v>14</v>
      </c>
      <c r="B1082" s="17" t="s">
        <v>155</v>
      </c>
      <c r="C1082" s="11" t="s">
        <v>154</v>
      </c>
      <c r="D1082" s="382">
        <v>6</v>
      </c>
      <c r="E1082" s="18">
        <f>'Mano de obra'!$J$21</f>
        <v>70.38</v>
      </c>
      <c r="F1082" s="375">
        <f t="shared" ref="F1082:F1085" si="54">ROUND(D1082*E1082, 2)</f>
        <v>422.28</v>
      </c>
      <c r="G1082" s="1"/>
    </row>
    <row r="1083" spans="1:7" ht="14.1" customHeight="1">
      <c r="A1083" s="480">
        <v>15</v>
      </c>
      <c r="B1083" s="17" t="s">
        <v>156</v>
      </c>
      <c r="C1083" s="11" t="s">
        <v>154</v>
      </c>
      <c r="D1083" s="382">
        <v>0</v>
      </c>
      <c r="E1083" s="18">
        <f>'Mano de obra'!$J$22</f>
        <v>64.78</v>
      </c>
      <c r="F1083" s="375">
        <f t="shared" si="54"/>
        <v>0</v>
      </c>
      <c r="G1083" s="1"/>
    </row>
    <row r="1084" spans="1:7" ht="14.1" customHeight="1">
      <c r="A1084" s="480">
        <v>16</v>
      </c>
      <c r="B1084" s="17" t="s">
        <v>157</v>
      </c>
      <c r="C1084" s="11" t="s">
        <v>154</v>
      </c>
      <c r="D1084" s="382">
        <v>6</v>
      </c>
      <c r="E1084" s="18">
        <f>'Mano de obra'!$J$23</f>
        <v>59.800000000000004</v>
      </c>
      <c r="F1084" s="375">
        <f t="shared" si="54"/>
        <v>358.8</v>
      </c>
      <c r="G1084" s="1"/>
    </row>
    <row r="1085" spans="1:7" ht="14.1" customHeight="1" thickBot="1">
      <c r="A1085" s="480">
        <v>17</v>
      </c>
      <c r="B1085" s="13"/>
      <c r="C1085" s="11"/>
      <c r="D1085" s="11"/>
      <c r="E1085" s="18"/>
      <c r="F1085" s="375">
        <f t="shared" si="54"/>
        <v>0</v>
      </c>
      <c r="G1085" s="1"/>
    </row>
    <row r="1086" spans="1:7" ht="14.1" customHeight="1" thickBot="1">
      <c r="A1086" s="483"/>
      <c r="B1086" s="325"/>
      <c r="C1086" s="328"/>
      <c r="D1086" s="328"/>
      <c r="E1086" s="367" t="s">
        <v>158</v>
      </c>
      <c r="F1086" s="376">
        <f>SUM(F1081:F1085)</f>
        <v>781.07999999999993</v>
      </c>
      <c r="G1086" s="1"/>
    </row>
    <row r="1087" spans="1:7" ht="14.1" customHeight="1" thickBot="1">
      <c r="A1087" s="484"/>
      <c r="B1087" s="325"/>
      <c r="C1087" s="328"/>
      <c r="D1087" s="328"/>
      <c r="E1087" s="328"/>
      <c r="F1087" s="367"/>
      <c r="G1087" s="1"/>
    </row>
    <row r="1088" spans="1:7" ht="14.1" customHeight="1" thickBot="1">
      <c r="A1088" s="480"/>
      <c r="B1088" s="142" t="s">
        <v>273</v>
      </c>
      <c r="C1088" s="369"/>
      <c r="D1088" s="369"/>
      <c r="E1088" s="377" t="s">
        <v>159</v>
      </c>
      <c r="F1088" s="376">
        <f>SUM(F1077+F1086)</f>
        <v>1225.17</v>
      </c>
      <c r="G1088" s="1"/>
    </row>
    <row r="1089" spans="1:7" ht="15" customHeight="1">
      <c r="A1089" s="626"/>
      <c r="B1089" s="627" t="s">
        <v>274</v>
      </c>
      <c r="C1089" s="628"/>
      <c r="D1089" s="628"/>
      <c r="E1089" s="629" t="s">
        <v>275</v>
      </c>
      <c r="F1089" s="631">
        <f>ROUND(F1088*'Coef. resumen'!$F$23, 2)</f>
        <v>1815.7</v>
      </c>
    </row>
    <row r="1090" spans="1:7" ht="15" customHeight="1" thickBot="1">
      <c r="A1090" s="626"/>
      <c r="B1090" s="627"/>
      <c r="C1090" s="628"/>
      <c r="D1090" s="628"/>
      <c r="E1090" s="630"/>
      <c r="F1090" s="632"/>
    </row>
    <row r="1091" spans="1:7" ht="15">
      <c r="A1091" s="471"/>
      <c r="B1091" s="2"/>
      <c r="C1091" s="329"/>
      <c r="D1091" s="329"/>
      <c r="E1091" s="329"/>
      <c r="F1091" s="329"/>
    </row>
    <row r="1092" spans="1:7" ht="15">
      <c r="A1092" s="471"/>
      <c r="B1092" s="2"/>
      <c r="C1092" s="329"/>
      <c r="D1092" s="329"/>
      <c r="E1092" s="329"/>
      <c r="F1092" s="329"/>
    </row>
    <row r="1093" spans="1:7" ht="15">
      <c r="A1093" s="471"/>
      <c r="B1093" s="194" t="str">
        <f>'Coef. resumen'!$B$30</f>
        <v>Julián Antonelli</v>
      </c>
      <c r="C1093" s="524"/>
      <c r="D1093" s="524"/>
      <c r="E1093" s="194" t="str">
        <f>'Coef. resumen'!$E$30</f>
        <v>Marcelo A. Pasquini</v>
      </c>
      <c r="F1093" s="329"/>
    </row>
    <row r="1094" spans="1:7" ht="15">
      <c r="A1094" s="471"/>
      <c r="B1094" s="194" t="str">
        <f>'Coef. resumen'!$B$31</f>
        <v>Ing. Civil M.P. 2161</v>
      </c>
      <c r="C1094" s="524"/>
      <c r="D1094" s="524"/>
      <c r="E1094" s="194" t="str">
        <f>'Coef. resumen'!$E$31</f>
        <v>Socio Gerente</v>
      </c>
      <c r="F1094" s="329"/>
    </row>
    <row r="1095" spans="1:7" ht="15">
      <c r="A1095" s="471"/>
      <c r="B1095" s="194" t="str">
        <f>'Coef. resumen'!$B$32</f>
        <v>Representante Técnico</v>
      </c>
      <c r="C1095" s="524"/>
      <c r="D1095" s="19"/>
      <c r="E1095" s="194" t="str">
        <f>'Coef. resumen'!$E$32</f>
        <v>Pasquini Construcciones SRL</v>
      </c>
      <c r="F1095" s="329"/>
    </row>
    <row r="1096" spans="1:7" ht="15">
      <c r="A1096" s="471"/>
      <c r="B1096" s="194"/>
      <c r="C1096" s="329"/>
      <c r="D1096" s="19"/>
      <c r="E1096" s="194"/>
      <c r="F1096" s="329"/>
    </row>
    <row r="1097" spans="1:7" ht="14.1" customHeight="1">
      <c r="A1097" s="477" t="s">
        <v>142</v>
      </c>
      <c r="B1097" s="613" t="str">
        <f>Presupuesto!B53</f>
        <v>Provisión y ejecución del Hormigón Armado H21</v>
      </c>
      <c r="C1097" s="614"/>
      <c r="D1097" s="615"/>
      <c r="E1097" s="367" t="s">
        <v>143</v>
      </c>
      <c r="F1097" s="30" t="str">
        <f>Presupuesto!C53</f>
        <v>m³</v>
      </c>
      <c r="G1097" s="1"/>
    </row>
    <row r="1098" spans="1:7" ht="14.1" customHeight="1">
      <c r="A1098" s="622" t="str">
        <f>Presupuesto!A53</f>
        <v>1.7.4</v>
      </c>
      <c r="B1098" s="616"/>
      <c r="C1098" s="617"/>
      <c r="D1098" s="618"/>
      <c r="E1098" s="367"/>
      <c r="F1098" s="367"/>
      <c r="G1098" s="1"/>
    </row>
    <row r="1099" spans="1:7" ht="14.1" customHeight="1">
      <c r="A1099" s="622"/>
      <c r="B1099" s="616"/>
      <c r="C1099" s="617"/>
      <c r="D1099" s="618"/>
      <c r="E1099" s="367"/>
      <c r="F1099" s="367"/>
      <c r="G1099" s="1"/>
    </row>
    <row r="1100" spans="1:7" ht="14.1" customHeight="1">
      <c r="A1100" s="623"/>
      <c r="B1100" s="619"/>
      <c r="C1100" s="620"/>
      <c r="D1100" s="621"/>
      <c r="E1100" s="367"/>
      <c r="F1100" s="367"/>
      <c r="G1100" s="1"/>
    </row>
    <row r="1101" spans="1:7" ht="14.1" customHeight="1">
      <c r="A1101" s="478"/>
      <c r="B1101" s="29"/>
      <c r="C1101" s="368"/>
      <c r="D1101" s="368"/>
      <c r="E1101" s="365"/>
      <c r="F1101" s="365"/>
      <c r="G1101" s="1"/>
    </row>
    <row r="1102" spans="1:7" ht="14.1" customHeight="1">
      <c r="A1102" s="624" t="s">
        <v>144</v>
      </c>
      <c r="B1102" s="624"/>
      <c r="C1102" s="624"/>
      <c r="D1102" s="624"/>
      <c r="E1102" s="624"/>
      <c r="F1102" s="624"/>
      <c r="G1102" s="1"/>
    </row>
    <row r="1103" spans="1:7" ht="14.1" customHeight="1">
      <c r="A1103" s="479"/>
      <c r="B1103" s="10"/>
      <c r="C1103" s="327"/>
      <c r="D1103" s="327"/>
      <c r="E1103" s="327"/>
      <c r="F1103" s="327"/>
      <c r="G1103" s="1"/>
    </row>
    <row r="1104" spans="1:7" ht="15.95" customHeight="1">
      <c r="A1104" s="480" t="s">
        <v>145</v>
      </c>
      <c r="B1104" s="11" t="s">
        <v>146</v>
      </c>
      <c r="C1104" s="11" t="s">
        <v>147</v>
      </c>
      <c r="D1104" s="11" t="s">
        <v>148</v>
      </c>
      <c r="E1104" s="12" t="s">
        <v>149</v>
      </c>
      <c r="F1104" s="11" t="s">
        <v>150</v>
      </c>
      <c r="G1104" s="1"/>
    </row>
    <row r="1105" spans="1:7" ht="14.1" customHeight="1">
      <c r="A1105" s="480">
        <v>1</v>
      </c>
      <c r="B1105" s="384" t="s">
        <v>1002</v>
      </c>
      <c r="C1105" s="305" t="s">
        <v>362</v>
      </c>
      <c r="D1105" s="385">
        <v>250</v>
      </c>
      <c r="E1105" s="18">
        <f>'MAT 31-10-2013'!R$14</f>
        <v>1.013611111111111</v>
      </c>
      <c r="F1105" s="375">
        <f>ROUND(D1105*E1105, 2)</f>
        <v>253.4</v>
      </c>
      <c r="G1105" s="1"/>
    </row>
    <row r="1106" spans="1:7" ht="14.1" customHeight="1">
      <c r="A1106" s="480">
        <v>2</v>
      </c>
      <c r="B1106" s="384" t="s">
        <v>1070</v>
      </c>
      <c r="C1106" s="305" t="s">
        <v>53</v>
      </c>
      <c r="D1106" s="385">
        <v>0.65</v>
      </c>
      <c r="E1106" s="18">
        <f>'MAT 31-10-2013'!R$5</f>
        <v>39.059027777777771</v>
      </c>
      <c r="F1106" s="375">
        <f t="shared" ref="F1106:F1116" si="55">ROUND(D1106*E1106, 2)</f>
        <v>25.39</v>
      </c>
      <c r="G1106" s="1"/>
    </row>
    <row r="1107" spans="1:7" ht="14.1" customHeight="1">
      <c r="A1107" s="480">
        <v>3</v>
      </c>
      <c r="B1107" s="384" t="s">
        <v>1071</v>
      </c>
      <c r="C1107" s="305" t="s">
        <v>53</v>
      </c>
      <c r="D1107" s="385">
        <v>0.65</v>
      </c>
      <c r="E1107" s="18">
        <f>'MAT 31-10-2013'!R$7</f>
        <v>39.059027777777771</v>
      </c>
      <c r="F1107" s="375">
        <f t="shared" si="55"/>
        <v>25.39</v>
      </c>
      <c r="G1107" s="1"/>
    </row>
    <row r="1108" spans="1:7" ht="14.1" customHeight="1">
      <c r="A1108" s="480">
        <v>4</v>
      </c>
      <c r="B1108" s="384" t="s">
        <v>1003</v>
      </c>
      <c r="C1108" s="305" t="s">
        <v>362</v>
      </c>
      <c r="D1108" s="385">
        <v>80</v>
      </c>
      <c r="E1108" s="18">
        <f>'MAT 31-10-2013'!R$32</f>
        <v>11.376875</v>
      </c>
      <c r="F1108" s="375">
        <f t="shared" si="55"/>
        <v>910.15</v>
      </c>
      <c r="G1108" s="1"/>
    </row>
    <row r="1109" spans="1:7" ht="14.1" customHeight="1">
      <c r="A1109" s="480">
        <v>5</v>
      </c>
      <c r="B1109" s="384" t="s">
        <v>1072</v>
      </c>
      <c r="C1109" s="305" t="s">
        <v>362</v>
      </c>
      <c r="D1109" s="385">
        <v>5</v>
      </c>
      <c r="E1109" s="18">
        <f>'MAT 31-10-2013'!R$35</f>
        <v>18.193777777777775</v>
      </c>
      <c r="F1109" s="375">
        <f t="shared" si="55"/>
        <v>90.97</v>
      </c>
      <c r="G1109" s="1"/>
    </row>
    <row r="1110" spans="1:7" ht="14.1" customHeight="1">
      <c r="A1110" s="480">
        <v>6</v>
      </c>
      <c r="B1110" s="384" t="s">
        <v>1074</v>
      </c>
      <c r="C1110" s="305" t="s">
        <v>329</v>
      </c>
      <c r="D1110" s="385">
        <v>40</v>
      </c>
      <c r="E1110" s="18">
        <f>'MAT 31-10-2013'!R$80</f>
        <v>6.75</v>
      </c>
      <c r="F1110" s="375">
        <f t="shared" si="55"/>
        <v>270</v>
      </c>
      <c r="G1110" s="1"/>
    </row>
    <row r="1111" spans="1:7" ht="14.1" customHeight="1">
      <c r="A1111" s="480">
        <v>7</v>
      </c>
      <c r="B1111" s="384" t="s">
        <v>1073</v>
      </c>
      <c r="C1111" s="305" t="s">
        <v>362</v>
      </c>
      <c r="D1111" s="385">
        <v>5</v>
      </c>
      <c r="E1111" s="18">
        <f>'MAT 31-10-2013'!R$37</f>
        <v>16.809374999999999</v>
      </c>
      <c r="F1111" s="375">
        <f t="shared" si="55"/>
        <v>84.05</v>
      </c>
      <c r="G1111" s="1"/>
    </row>
    <row r="1112" spans="1:7" ht="14.1" customHeight="1">
      <c r="A1112" s="480">
        <v>8</v>
      </c>
      <c r="B1112" s="13"/>
      <c r="C1112" s="11"/>
      <c r="D1112" s="14"/>
      <c r="E1112" s="18"/>
      <c r="F1112" s="375">
        <f t="shared" si="55"/>
        <v>0</v>
      </c>
      <c r="G1112" s="1"/>
    </row>
    <row r="1113" spans="1:7" ht="14.1" customHeight="1">
      <c r="A1113" s="480">
        <v>9</v>
      </c>
      <c r="B1113" s="220"/>
      <c r="C1113" s="324"/>
      <c r="D1113" s="14"/>
      <c r="E1113" s="18"/>
      <c r="F1113" s="375">
        <f t="shared" si="55"/>
        <v>0</v>
      </c>
      <c r="G1113" s="1"/>
    </row>
    <row r="1114" spans="1:7" ht="14.1" customHeight="1">
      <c r="A1114" s="480">
        <v>10</v>
      </c>
      <c r="B1114" s="201"/>
      <c r="C1114" s="11"/>
      <c r="D1114" s="14"/>
      <c r="E1114" s="18"/>
      <c r="F1114" s="375">
        <f t="shared" si="55"/>
        <v>0</v>
      </c>
      <c r="G1114" s="1"/>
    </row>
    <row r="1115" spans="1:7" ht="14.1" customHeight="1">
      <c r="A1115" s="480">
        <v>11</v>
      </c>
      <c r="B1115" s="13"/>
      <c r="C1115" s="11"/>
      <c r="D1115" s="14"/>
      <c r="E1115" s="18"/>
      <c r="F1115" s="375">
        <f t="shared" si="55"/>
        <v>0</v>
      </c>
      <c r="G1115" s="1"/>
    </row>
    <row r="1116" spans="1:7" ht="14.1" customHeight="1" thickBot="1">
      <c r="A1116" s="480">
        <v>12</v>
      </c>
      <c r="B1116" s="13"/>
      <c r="C1116" s="11"/>
      <c r="D1116" s="11"/>
      <c r="E1116" s="18"/>
      <c r="F1116" s="375">
        <f t="shared" si="55"/>
        <v>0</v>
      </c>
      <c r="G1116" s="1"/>
    </row>
    <row r="1117" spans="1:7" ht="14.1" customHeight="1" thickBot="1">
      <c r="A1117" s="481"/>
      <c r="B1117" s="5"/>
      <c r="C1117" s="367"/>
      <c r="D1117" s="367"/>
      <c r="E1117" s="367" t="s">
        <v>151</v>
      </c>
      <c r="F1117" s="376">
        <f>SUM(F1105:F1116)</f>
        <v>1659.35</v>
      </c>
      <c r="G1117" s="1"/>
    </row>
    <row r="1118" spans="1:7" ht="14.1" customHeight="1">
      <c r="A1118" s="482"/>
      <c r="B1118" s="325"/>
      <c r="C1118" s="328"/>
      <c r="D1118" s="328"/>
      <c r="E1118" s="328"/>
      <c r="F1118" s="328"/>
      <c r="G1118" s="1"/>
    </row>
    <row r="1119" spans="1:7" ht="14.1" customHeight="1">
      <c r="A1119" s="625" t="s">
        <v>152</v>
      </c>
      <c r="B1119" s="625"/>
      <c r="C1119" s="625"/>
      <c r="D1119" s="625"/>
      <c r="E1119" s="625"/>
      <c r="F1119" s="625"/>
      <c r="G1119" s="1"/>
    </row>
    <row r="1120" spans="1:7" ht="14.1" customHeight="1">
      <c r="A1120" s="482"/>
      <c r="B1120" s="325"/>
      <c r="C1120" s="328"/>
      <c r="D1120" s="328"/>
      <c r="E1120" s="328"/>
      <c r="F1120" s="367"/>
      <c r="G1120" s="1"/>
    </row>
    <row r="1121" spans="1:7" ht="14.1" customHeight="1">
      <c r="A1121" s="480">
        <v>13</v>
      </c>
      <c r="B1121" s="17" t="s">
        <v>153</v>
      </c>
      <c r="C1121" s="11" t="s">
        <v>154</v>
      </c>
      <c r="D1121" s="382">
        <v>0</v>
      </c>
      <c r="E1121" s="18">
        <f>'Mano de obra'!$J$20</f>
        <v>82.610000000000014</v>
      </c>
      <c r="F1121" s="375">
        <f>ROUND(D1121*E1121, 2)</f>
        <v>0</v>
      </c>
      <c r="G1121" s="1"/>
    </row>
    <row r="1122" spans="1:7" ht="14.1" customHeight="1">
      <c r="A1122" s="480">
        <v>14</v>
      </c>
      <c r="B1122" s="17" t="s">
        <v>155</v>
      </c>
      <c r="C1122" s="11" t="s">
        <v>154</v>
      </c>
      <c r="D1122" s="382">
        <v>14</v>
      </c>
      <c r="E1122" s="18">
        <f>'Mano de obra'!$J$21</f>
        <v>70.38</v>
      </c>
      <c r="F1122" s="375">
        <f t="shared" ref="F1122:F1125" si="56">ROUND(D1122*E1122, 2)</f>
        <v>985.32</v>
      </c>
      <c r="G1122" s="1"/>
    </row>
    <row r="1123" spans="1:7" ht="14.1" customHeight="1">
      <c r="A1123" s="480">
        <v>15</v>
      </c>
      <c r="B1123" s="17" t="s">
        <v>156</v>
      </c>
      <c r="C1123" s="11" t="s">
        <v>154</v>
      </c>
      <c r="D1123" s="382">
        <v>0</v>
      </c>
      <c r="E1123" s="18">
        <f>'Mano de obra'!$J$22</f>
        <v>64.78</v>
      </c>
      <c r="F1123" s="375">
        <f t="shared" si="56"/>
        <v>0</v>
      </c>
      <c r="G1123" s="1"/>
    </row>
    <row r="1124" spans="1:7" ht="14.1" customHeight="1">
      <c r="A1124" s="480">
        <v>16</v>
      </c>
      <c r="B1124" s="17" t="s">
        <v>157</v>
      </c>
      <c r="C1124" s="11" t="s">
        <v>154</v>
      </c>
      <c r="D1124" s="382">
        <v>12</v>
      </c>
      <c r="E1124" s="18">
        <f>'Mano de obra'!$J$23</f>
        <v>59.800000000000004</v>
      </c>
      <c r="F1124" s="375">
        <f t="shared" si="56"/>
        <v>717.6</v>
      </c>
      <c r="G1124" s="1"/>
    </row>
    <row r="1125" spans="1:7" ht="14.1" customHeight="1" thickBot="1">
      <c r="A1125" s="480">
        <v>17</v>
      </c>
      <c r="B1125" s="13"/>
      <c r="C1125" s="11"/>
      <c r="D1125" s="11"/>
      <c r="E1125" s="18"/>
      <c r="F1125" s="375">
        <f t="shared" si="56"/>
        <v>0</v>
      </c>
      <c r="G1125" s="1"/>
    </row>
    <row r="1126" spans="1:7" ht="14.1" customHeight="1" thickBot="1">
      <c r="A1126" s="483"/>
      <c r="B1126" s="325"/>
      <c r="C1126" s="328"/>
      <c r="D1126" s="328"/>
      <c r="E1126" s="367" t="s">
        <v>158</v>
      </c>
      <c r="F1126" s="376">
        <f>SUM(F1121:F1125)</f>
        <v>1702.92</v>
      </c>
      <c r="G1126" s="1"/>
    </row>
    <row r="1127" spans="1:7" ht="14.1" customHeight="1" thickBot="1">
      <c r="A1127" s="484"/>
      <c r="B1127" s="325"/>
      <c r="C1127" s="328"/>
      <c r="D1127" s="328"/>
      <c r="E1127" s="328"/>
      <c r="F1127" s="367"/>
      <c r="G1127" s="1"/>
    </row>
    <row r="1128" spans="1:7" ht="14.1" customHeight="1" thickBot="1">
      <c r="A1128" s="480"/>
      <c r="B1128" s="142" t="s">
        <v>273</v>
      </c>
      <c r="C1128" s="369"/>
      <c r="D1128" s="369"/>
      <c r="E1128" s="377" t="s">
        <v>159</v>
      </c>
      <c r="F1128" s="376">
        <f>SUM(F1117+F1126)</f>
        <v>3362.27</v>
      </c>
      <c r="G1128" s="1"/>
    </row>
    <row r="1129" spans="1:7" ht="15" customHeight="1">
      <c r="A1129" s="626"/>
      <c r="B1129" s="627" t="s">
        <v>274</v>
      </c>
      <c r="C1129" s="628"/>
      <c r="D1129" s="628"/>
      <c r="E1129" s="629" t="s">
        <v>275</v>
      </c>
      <c r="F1129" s="631">
        <f>ROUND(F1128*'Coef. resumen'!$F$23, 2)</f>
        <v>4982.88</v>
      </c>
    </row>
    <row r="1130" spans="1:7" ht="15" customHeight="1" thickBot="1">
      <c r="A1130" s="626"/>
      <c r="B1130" s="627"/>
      <c r="C1130" s="628"/>
      <c r="D1130" s="628"/>
      <c r="E1130" s="630"/>
      <c r="F1130" s="632"/>
    </row>
    <row r="1131" spans="1:7" ht="15">
      <c r="A1131" s="471"/>
      <c r="B1131" s="2"/>
      <c r="C1131" s="329"/>
      <c r="D1131" s="329"/>
      <c r="E1131" s="329"/>
      <c r="F1131" s="329"/>
    </row>
    <row r="1132" spans="1:7" ht="15">
      <c r="A1132" s="471"/>
      <c r="B1132" s="2"/>
      <c r="C1132" s="329"/>
      <c r="D1132" s="329"/>
      <c r="E1132" s="329"/>
      <c r="F1132" s="329"/>
    </row>
    <row r="1133" spans="1:7" ht="15">
      <c r="A1133" s="471"/>
      <c r="B1133" s="194" t="str">
        <f>'Coef. resumen'!$B$30</f>
        <v>Julián Antonelli</v>
      </c>
      <c r="C1133" s="524"/>
      <c r="D1133" s="524"/>
      <c r="E1133" s="194" t="str">
        <f>'Coef. resumen'!$E$30</f>
        <v>Marcelo A. Pasquini</v>
      </c>
      <c r="F1133" s="329"/>
    </row>
    <row r="1134" spans="1:7" ht="15">
      <c r="A1134" s="471"/>
      <c r="B1134" s="194" t="str">
        <f>'Coef. resumen'!$B$31</f>
        <v>Ing. Civil M.P. 2161</v>
      </c>
      <c r="C1134" s="524"/>
      <c r="D1134" s="524"/>
      <c r="E1134" s="194" t="str">
        <f>'Coef. resumen'!$E$31</f>
        <v>Socio Gerente</v>
      </c>
      <c r="F1134" s="329"/>
    </row>
    <row r="1135" spans="1:7" ht="15">
      <c r="A1135" s="471"/>
      <c r="B1135" s="194" t="str">
        <f>'Coef. resumen'!$B$32</f>
        <v>Representante Técnico</v>
      </c>
      <c r="C1135" s="524"/>
      <c r="D1135" s="19"/>
      <c r="E1135" s="194" t="str">
        <f>'Coef. resumen'!$E$32</f>
        <v>Pasquini Construcciones SRL</v>
      </c>
      <c r="F1135" s="329"/>
    </row>
    <row r="1136" spans="1:7" ht="15">
      <c r="A1136" s="471"/>
      <c r="B1136" s="194"/>
      <c r="C1136" s="329"/>
      <c r="D1136" s="19"/>
      <c r="E1136" s="194"/>
      <c r="F1136" s="329"/>
    </row>
    <row r="1137" spans="1:7" ht="14.1" customHeight="1">
      <c r="A1137" s="477" t="s">
        <v>142</v>
      </c>
      <c r="B1137" s="613" t="str">
        <f>Presupuesto!B54</f>
        <v>Pintura interna con epoxi</v>
      </c>
      <c r="C1137" s="614"/>
      <c r="D1137" s="615"/>
      <c r="E1137" s="367" t="s">
        <v>143</v>
      </c>
      <c r="F1137" s="30" t="str">
        <f>Presupuesto!C54</f>
        <v>m²</v>
      </c>
      <c r="G1137" s="1"/>
    </row>
    <row r="1138" spans="1:7" ht="14.1" customHeight="1">
      <c r="A1138" s="622" t="str">
        <f>Presupuesto!A54</f>
        <v>1.7.5</v>
      </c>
      <c r="B1138" s="616"/>
      <c r="C1138" s="617"/>
      <c r="D1138" s="618"/>
      <c r="E1138" s="367"/>
      <c r="F1138" s="367"/>
      <c r="G1138" s="1"/>
    </row>
    <row r="1139" spans="1:7" ht="14.1" customHeight="1">
      <c r="A1139" s="622"/>
      <c r="B1139" s="616"/>
      <c r="C1139" s="617"/>
      <c r="D1139" s="618"/>
      <c r="E1139" s="367"/>
      <c r="F1139" s="367"/>
      <c r="G1139" s="1"/>
    </row>
    <row r="1140" spans="1:7" ht="14.1" customHeight="1">
      <c r="A1140" s="623"/>
      <c r="B1140" s="619"/>
      <c r="C1140" s="620"/>
      <c r="D1140" s="621"/>
      <c r="E1140" s="367"/>
      <c r="F1140" s="367"/>
      <c r="G1140" s="1"/>
    </row>
    <row r="1141" spans="1:7" ht="14.1" customHeight="1">
      <c r="A1141" s="478"/>
      <c r="B1141" s="29"/>
      <c r="C1141" s="368"/>
      <c r="D1141" s="368"/>
      <c r="E1141" s="365"/>
      <c r="F1141" s="365"/>
      <c r="G1141" s="1"/>
    </row>
    <row r="1142" spans="1:7" ht="14.1" customHeight="1">
      <c r="A1142" s="624" t="s">
        <v>144</v>
      </c>
      <c r="B1142" s="624"/>
      <c r="C1142" s="624"/>
      <c r="D1142" s="624"/>
      <c r="E1142" s="624"/>
      <c r="F1142" s="624"/>
      <c r="G1142" s="1"/>
    </row>
    <row r="1143" spans="1:7" ht="14.1" customHeight="1">
      <c r="A1143" s="479"/>
      <c r="B1143" s="10"/>
      <c r="C1143" s="327"/>
      <c r="D1143" s="327"/>
      <c r="E1143" s="327"/>
      <c r="F1143" s="327"/>
      <c r="G1143" s="1"/>
    </row>
    <row r="1144" spans="1:7" ht="15.95" customHeight="1">
      <c r="A1144" s="480" t="s">
        <v>145</v>
      </c>
      <c r="B1144" s="11" t="s">
        <v>146</v>
      </c>
      <c r="C1144" s="11" t="s">
        <v>147</v>
      </c>
      <c r="D1144" s="11" t="s">
        <v>148</v>
      </c>
      <c r="E1144" s="12" t="s">
        <v>149</v>
      </c>
      <c r="F1144" s="11" t="s">
        <v>150</v>
      </c>
      <c r="G1144" s="1"/>
    </row>
    <row r="1145" spans="1:7" ht="14.1" customHeight="1">
      <c r="A1145" s="480">
        <v>1</v>
      </c>
      <c r="B1145" s="384" t="s">
        <v>1075</v>
      </c>
      <c r="C1145" s="305" t="s">
        <v>1077</v>
      </c>
      <c r="D1145" s="385">
        <v>0.4</v>
      </c>
      <c r="E1145" s="18">
        <f>'MAT 31-10-2013'!R$139/4</f>
        <v>59.828229166666667</v>
      </c>
      <c r="F1145" s="375">
        <f>ROUND(D1145*E1145, 2)</f>
        <v>23.93</v>
      </c>
      <c r="G1145" s="1"/>
    </row>
    <row r="1146" spans="1:7" ht="14.1" customHeight="1">
      <c r="A1146" s="480">
        <v>2</v>
      </c>
      <c r="B1146" s="383" t="s">
        <v>1076</v>
      </c>
      <c r="C1146" s="305" t="s">
        <v>1026</v>
      </c>
      <c r="D1146" s="385">
        <v>1</v>
      </c>
      <c r="E1146" s="18">
        <f>0.3*F$1145</f>
        <v>7.1789999999999994</v>
      </c>
      <c r="F1146" s="375">
        <f t="shared" ref="F1146:F1156" si="57">ROUND(D1146*E1146, 2)</f>
        <v>7.18</v>
      </c>
      <c r="G1146" s="1"/>
    </row>
    <row r="1147" spans="1:7" ht="14.1" customHeight="1">
      <c r="A1147" s="480">
        <v>3</v>
      </c>
      <c r="B1147" s="384"/>
      <c r="C1147" s="305"/>
      <c r="D1147" s="385"/>
      <c r="E1147" s="18"/>
      <c r="F1147" s="375">
        <f t="shared" si="57"/>
        <v>0</v>
      </c>
      <c r="G1147" s="1"/>
    </row>
    <row r="1148" spans="1:7" ht="14.1" customHeight="1">
      <c r="A1148" s="480">
        <v>4</v>
      </c>
      <c r="B1148" s="384"/>
      <c r="C1148" s="305"/>
      <c r="D1148" s="385"/>
      <c r="E1148" s="18"/>
      <c r="F1148" s="375">
        <f t="shared" si="57"/>
        <v>0</v>
      </c>
      <c r="G1148" s="1"/>
    </row>
    <row r="1149" spans="1:7" ht="14.1" customHeight="1">
      <c r="A1149" s="480">
        <v>5</v>
      </c>
      <c r="B1149" s="384"/>
      <c r="C1149" s="305"/>
      <c r="D1149" s="385"/>
      <c r="E1149" s="18"/>
      <c r="F1149" s="375">
        <f t="shared" si="57"/>
        <v>0</v>
      </c>
      <c r="G1149" s="1"/>
    </row>
    <row r="1150" spans="1:7" ht="14.1" customHeight="1">
      <c r="A1150" s="480">
        <v>6</v>
      </c>
      <c r="B1150" s="384"/>
      <c r="C1150" s="305"/>
      <c r="D1150" s="385"/>
      <c r="E1150" s="18"/>
      <c r="F1150" s="375">
        <f t="shared" si="57"/>
        <v>0</v>
      </c>
      <c r="G1150" s="1"/>
    </row>
    <row r="1151" spans="1:7" ht="14.1" customHeight="1">
      <c r="A1151" s="480">
        <v>7</v>
      </c>
      <c r="B1151" s="384"/>
      <c r="C1151" s="305"/>
      <c r="D1151" s="385"/>
      <c r="E1151" s="18"/>
      <c r="F1151" s="375">
        <f t="shared" si="57"/>
        <v>0</v>
      </c>
      <c r="G1151" s="1"/>
    </row>
    <row r="1152" spans="1:7" ht="14.1" customHeight="1">
      <c r="A1152" s="480">
        <v>8</v>
      </c>
      <c r="B1152" s="13"/>
      <c r="C1152" s="11"/>
      <c r="D1152" s="14"/>
      <c r="E1152" s="18"/>
      <c r="F1152" s="375">
        <f t="shared" si="57"/>
        <v>0</v>
      </c>
      <c r="G1152" s="1"/>
    </row>
    <row r="1153" spans="1:7" ht="14.1" customHeight="1">
      <c r="A1153" s="480">
        <v>9</v>
      </c>
      <c r="B1153" s="220"/>
      <c r="C1153" s="324"/>
      <c r="D1153" s="14"/>
      <c r="E1153" s="18"/>
      <c r="F1153" s="375">
        <f t="shared" si="57"/>
        <v>0</v>
      </c>
      <c r="G1153" s="1"/>
    </row>
    <row r="1154" spans="1:7" ht="14.1" customHeight="1">
      <c r="A1154" s="480">
        <v>10</v>
      </c>
      <c r="B1154" s="201"/>
      <c r="C1154" s="11"/>
      <c r="D1154" s="14"/>
      <c r="E1154" s="18"/>
      <c r="F1154" s="375">
        <f t="shared" si="57"/>
        <v>0</v>
      </c>
      <c r="G1154" s="1"/>
    </row>
    <row r="1155" spans="1:7" ht="14.1" customHeight="1">
      <c r="A1155" s="480">
        <v>11</v>
      </c>
      <c r="B1155" s="13"/>
      <c r="C1155" s="11"/>
      <c r="D1155" s="14"/>
      <c r="E1155" s="18"/>
      <c r="F1155" s="375">
        <f t="shared" si="57"/>
        <v>0</v>
      </c>
      <c r="G1155" s="1"/>
    </row>
    <row r="1156" spans="1:7" ht="14.1" customHeight="1" thickBot="1">
      <c r="A1156" s="480">
        <v>12</v>
      </c>
      <c r="B1156" s="13"/>
      <c r="C1156" s="11"/>
      <c r="D1156" s="11"/>
      <c r="E1156" s="18"/>
      <c r="F1156" s="375">
        <f t="shared" si="57"/>
        <v>0</v>
      </c>
      <c r="G1156" s="1"/>
    </row>
    <row r="1157" spans="1:7" ht="14.1" customHeight="1" thickBot="1">
      <c r="A1157" s="481"/>
      <c r="B1157" s="5"/>
      <c r="C1157" s="367"/>
      <c r="D1157" s="367"/>
      <c r="E1157" s="367" t="s">
        <v>151</v>
      </c>
      <c r="F1157" s="376">
        <f>SUM(F1145:F1156)</f>
        <v>31.11</v>
      </c>
      <c r="G1157" s="1"/>
    </row>
    <row r="1158" spans="1:7" ht="14.1" customHeight="1">
      <c r="A1158" s="482"/>
      <c r="B1158" s="325"/>
      <c r="C1158" s="328"/>
      <c r="D1158" s="328"/>
      <c r="E1158" s="328"/>
      <c r="F1158" s="328"/>
      <c r="G1158" s="1"/>
    </row>
    <row r="1159" spans="1:7" ht="14.1" customHeight="1">
      <c r="A1159" s="625" t="s">
        <v>152</v>
      </c>
      <c r="B1159" s="625"/>
      <c r="C1159" s="625"/>
      <c r="D1159" s="625"/>
      <c r="E1159" s="625"/>
      <c r="F1159" s="625"/>
      <c r="G1159" s="1"/>
    </row>
    <row r="1160" spans="1:7" ht="14.1" customHeight="1">
      <c r="A1160" s="482"/>
      <c r="B1160" s="325"/>
      <c r="C1160" s="328"/>
      <c r="D1160" s="328"/>
      <c r="E1160" s="328"/>
      <c r="F1160" s="367"/>
      <c r="G1160" s="1"/>
    </row>
    <row r="1161" spans="1:7" ht="14.1" customHeight="1">
      <c r="A1161" s="480">
        <v>13</v>
      </c>
      <c r="B1161" s="17" t="s">
        <v>153</v>
      </c>
      <c r="C1161" s="11" t="s">
        <v>154</v>
      </c>
      <c r="D1161" s="382"/>
      <c r="E1161" s="18">
        <f>'Mano de obra'!$J$20</f>
        <v>82.610000000000014</v>
      </c>
      <c r="F1161" s="375">
        <f>ROUND(D1161*E1161, 2)</f>
        <v>0</v>
      </c>
      <c r="G1161" s="1"/>
    </row>
    <row r="1162" spans="1:7" ht="14.1" customHeight="1">
      <c r="A1162" s="480">
        <v>14</v>
      </c>
      <c r="B1162" s="17" t="s">
        <v>155</v>
      </c>
      <c r="C1162" s="11" t="s">
        <v>154</v>
      </c>
      <c r="D1162" s="382">
        <v>0.6</v>
      </c>
      <c r="E1162" s="18">
        <f>'Mano de obra'!$J$21</f>
        <v>70.38</v>
      </c>
      <c r="F1162" s="375">
        <f t="shared" ref="F1162:F1165" si="58">ROUND(D1162*E1162, 2)</f>
        <v>42.23</v>
      </c>
      <c r="G1162" s="1"/>
    </row>
    <row r="1163" spans="1:7" ht="14.1" customHeight="1">
      <c r="A1163" s="480">
        <v>15</v>
      </c>
      <c r="B1163" s="17" t="s">
        <v>156</v>
      </c>
      <c r="C1163" s="11" t="s">
        <v>154</v>
      </c>
      <c r="D1163" s="382"/>
      <c r="E1163" s="18">
        <f>'Mano de obra'!$J$22</f>
        <v>64.78</v>
      </c>
      <c r="F1163" s="375">
        <f t="shared" si="58"/>
        <v>0</v>
      </c>
      <c r="G1163" s="1"/>
    </row>
    <row r="1164" spans="1:7" ht="14.1" customHeight="1">
      <c r="A1164" s="480">
        <v>16</v>
      </c>
      <c r="B1164" s="17" t="s">
        <v>157</v>
      </c>
      <c r="C1164" s="11" t="s">
        <v>154</v>
      </c>
      <c r="D1164" s="382">
        <v>0.4</v>
      </c>
      <c r="E1164" s="18">
        <f>'Mano de obra'!$J$23</f>
        <v>59.800000000000004</v>
      </c>
      <c r="F1164" s="375">
        <f t="shared" si="58"/>
        <v>23.92</v>
      </c>
      <c r="G1164" s="1"/>
    </row>
    <row r="1165" spans="1:7" ht="14.1" customHeight="1" thickBot="1">
      <c r="A1165" s="480">
        <v>17</v>
      </c>
      <c r="B1165" s="13"/>
      <c r="C1165" s="11"/>
      <c r="D1165" s="11"/>
      <c r="E1165" s="18"/>
      <c r="F1165" s="375">
        <f t="shared" si="58"/>
        <v>0</v>
      </c>
      <c r="G1165" s="1"/>
    </row>
    <row r="1166" spans="1:7" ht="14.1" customHeight="1" thickBot="1">
      <c r="A1166" s="483"/>
      <c r="B1166" s="325"/>
      <c r="C1166" s="328"/>
      <c r="D1166" s="328"/>
      <c r="E1166" s="367" t="s">
        <v>158</v>
      </c>
      <c r="F1166" s="376">
        <f>SUM(F1161:F1165)</f>
        <v>66.150000000000006</v>
      </c>
      <c r="G1166" s="1"/>
    </row>
    <row r="1167" spans="1:7" ht="14.1" customHeight="1" thickBot="1">
      <c r="A1167" s="484"/>
      <c r="B1167" s="325"/>
      <c r="C1167" s="328"/>
      <c r="D1167" s="328"/>
      <c r="E1167" s="328"/>
      <c r="F1167" s="367"/>
      <c r="G1167" s="1"/>
    </row>
    <row r="1168" spans="1:7" ht="14.1" customHeight="1" thickBot="1">
      <c r="A1168" s="480"/>
      <c r="B1168" s="142" t="s">
        <v>273</v>
      </c>
      <c r="C1168" s="369"/>
      <c r="D1168" s="369"/>
      <c r="E1168" s="377" t="s">
        <v>159</v>
      </c>
      <c r="F1168" s="376">
        <f>SUM(F1157+F1166)</f>
        <v>97.26</v>
      </c>
      <c r="G1168" s="1"/>
    </row>
    <row r="1169" spans="1:7" ht="15" customHeight="1">
      <c r="A1169" s="626"/>
      <c r="B1169" s="627" t="s">
        <v>274</v>
      </c>
      <c r="C1169" s="628"/>
      <c r="D1169" s="628"/>
      <c r="E1169" s="629" t="s">
        <v>275</v>
      </c>
      <c r="F1169" s="631">
        <f>ROUND(F1168*'Coef. resumen'!$F$23, 2)</f>
        <v>144.13999999999999</v>
      </c>
    </row>
    <row r="1170" spans="1:7" ht="15" customHeight="1" thickBot="1">
      <c r="A1170" s="626"/>
      <c r="B1170" s="627"/>
      <c r="C1170" s="628"/>
      <c r="D1170" s="628"/>
      <c r="E1170" s="630"/>
      <c r="F1170" s="632"/>
    </row>
    <row r="1171" spans="1:7" ht="15">
      <c r="A1171" s="471"/>
      <c r="B1171" s="2"/>
      <c r="C1171" s="329"/>
      <c r="D1171" s="329"/>
      <c r="E1171" s="329"/>
      <c r="F1171" s="329"/>
    </row>
    <row r="1172" spans="1:7" ht="15">
      <c r="A1172" s="471"/>
      <c r="B1172" s="2"/>
      <c r="C1172" s="329"/>
      <c r="D1172" s="329"/>
      <c r="E1172" s="329"/>
      <c r="F1172" s="329"/>
    </row>
    <row r="1173" spans="1:7" ht="15">
      <c r="A1173" s="471"/>
      <c r="B1173" s="194" t="str">
        <f>'Coef. resumen'!$B$30</f>
        <v>Julián Antonelli</v>
      </c>
      <c r="C1173" s="524"/>
      <c r="D1173" s="524"/>
      <c r="E1173" s="194" t="str">
        <f>'Coef. resumen'!$E$30</f>
        <v>Marcelo A. Pasquini</v>
      </c>
      <c r="F1173" s="329"/>
    </row>
    <row r="1174" spans="1:7" ht="15">
      <c r="A1174" s="471"/>
      <c r="B1174" s="194" t="str">
        <f>'Coef. resumen'!$B$31</f>
        <v>Ing. Civil M.P. 2161</v>
      </c>
      <c r="C1174" s="524"/>
      <c r="D1174" s="524"/>
      <c r="E1174" s="194" t="str">
        <f>'Coef. resumen'!$E$31</f>
        <v>Socio Gerente</v>
      </c>
      <c r="F1174" s="329"/>
    </row>
    <row r="1175" spans="1:7" ht="15">
      <c r="A1175" s="471"/>
      <c r="B1175" s="194" t="str">
        <f>'Coef. resumen'!$B$32</f>
        <v>Representante Técnico</v>
      </c>
      <c r="C1175" s="524"/>
      <c r="D1175" s="19"/>
      <c r="E1175" s="194" t="str">
        <f>'Coef. resumen'!$E$32</f>
        <v>Pasquini Construcciones SRL</v>
      </c>
      <c r="F1175" s="329"/>
    </row>
    <row r="1176" spans="1:7" ht="15">
      <c r="A1176" s="471"/>
      <c r="B1176" s="194"/>
      <c r="C1176" s="329"/>
      <c r="D1176" s="19"/>
      <c r="E1176" s="194"/>
      <c r="F1176" s="329"/>
    </row>
    <row r="1177" spans="1:7" ht="14.1" customHeight="1">
      <c r="A1177" s="477" t="s">
        <v>142</v>
      </c>
      <c r="B1177" s="613" t="str">
        <f>Presupuesto!B55</f>
        <v>Pintura látex para exterior color cemento</v>
      </c>
      <c r="C1177" s="614"/>
      <c r="D1177" s="615"/>
      <c r="E1177" s="367" t="s">
        <v>143</v>
      </c>
      <c r="F1177" s="30" t="str">
        <f>Presupuesto!C55</f>
        <v>m²</v>
      </c>
      <c r="G1177" s="1"/>
    </row>
    <row r="1178" spans="1:7" ht="14.1" customHeight="1">
      <c r="A1178" s="622" t="str">
        <f>Presupuesto!A55</f>
        <v>1.7.6</v>
      </c>
      <c r="B1178" s="616"/>
      <c r="C1178" s="617"/>
      <c r="D1178" s="618"/>
      <c r="E1178" s="367"/>
      <c r="F1178" s="367"/>
      <c r="G1178" s="1"/>
    </row>
    <row r="1179" spans="1:7" ht="14.1" customHeight="1">
      <c r="A1179" s="622"/>
      <c r="B1179" s="616"/>
      <c r="C1179" s="617"/>
      <c r="D1179" s="618"/>
      <c r="E1179" s="367"/>
      <c r="F1179" s="367"/>
      <c r="G1179" s="1"/>
    </row>
    <row r="1180" spans="1:7" ht="14.1" customHeight="1">
      <c r="A1180" s="623"/>
      <c r="B1180" s="619"/>
      <c r="C1180" s="620"/>
      <c r="D1180" s="621"/>
      <c r="E1180" s="367"/>
      <c r="F1180" s="367"/>
      <c r="G1180" s="1"/>
    </row>
    <row r="1181" spans="1:7" ht="14.1" customHeight="1">
      <c r="A1181" s="478"/>
      <c r="B1181" s="29"/>
      <c r="C1181" s="368"/>
      <c r="D1181" s="368"/>
      <c r="E1181" s="365"/>
      <c r="F1181" s="365"/>
      <c r="G1181" s="1"/>
    </row>
    <row r="1182" spans="1:7" ht="14.1" customHeight="1">
      <c r="A1182" s="624" t="s">
        <v>144</v>
      </c>
      <c r="B1182" s="624"/>
      <c r="C1182" s="624"/>
      <c r="D1182" s="624"/>
      <c r="E1182" s="624"/>
      <c r="F1182" s="624"/>
      <c r="G1182" s="1"/>
    </row>
    <row r="1183" spans="1:7" ht="14.1" customHeight="1">
      <c r="A1183" s="479"/>
      <c r="B1183" s="10"/>
      <c r="C1183" s="327"/>
      <c r="D1183" s="327"/>
      <c r="E1183" s="327"/>
      <c r="F1183" s="327"/>
      <c r="G1183" s="1"/>
    </row>
    <row r="1184" spans="1:7" ht="15.95" customHeight="1">
      <c r="A1184" s="480" t="s">
        <v>145</v>
      </c>
      <c r="B1184" s="11" t="s">
        <v>146</v>
      </c>
      <c r="C1184" s="11" t="s">
        <v>147</v>
      </c>
      <c r="D1184" s="11" t="s">
        <v>148</v>
      </c>
      <c r="E1184" s="12" t="s">
        <v>149</v>
      </c>
      <c r="F1184" s="11" t="s">
        <v>150</v>
      </c>
      <c r="G1184" s="1"/>
    </row>
    <row r="1185" spans="1:7" ht="14.1" customHeight="1">
      <c r="A1185" s="480">
        <v>1</v>
      </c>
      <c r="B1185" s="384" t="s">
        <v>1078</v>
      </c>
      <c r="C1185" s="305" t="s">
        <v>1077</v>
      </c>
      <c r="D1185" s="385">
        <v>0.5</v>
      </c>
      <c r="E1185" s="18">
        <f>'MAT 31-10-2013'!R$144/4*1.2</f>
        <v>30.961379166666667</v>
      </c>
      <c r="F1185" s="375">
        <f>ROUND(D1185*E1185, 2)</f>
        <v>15.48</v>
      </c>
      <c r="G1185" s="1"/>
    </row>
    <row r="1186" spans="1:7" ht="14.1" customHeight="1">
      <c r="A1186" s="480">
        <v>2</v>
      </c>
      <c r="B1186" s="383" t="s">
        <v>1076</v>
      </c>
      <c r="C1186" s="305" t="s">
        <v>1026</v>
      </c>
      <c r="D1186" s="385">
        <v>1</v>
      </c>
      <c r="E1186" s="18">
        <f>0.3*F$1185</f>
        <v>4.6440000000000001</v>
      </c>
      <c r="F1186" s="375">
        <f t="shared" ref="F1186:F1196" si="59">ROUND(D1186*E1186, 2)</f>
        <v>4.6399999999999997</v>
      </c>
      <c r="G1186" s="1"/>
    </row>
    <row r="1187" spans="1:7" ht="14.1" customHeight="1">
      <c r="A1187" s="480">
        <v>3</v>
      </c>
      <c r="B1187" s="384"/>
      <c r="C1187" s="305"/>
      <c r="D1187" s="385"/>
      <c r="E1187" s="18"/>
      <c r="F1187" s="375">
        <f t="shared" si="59"/>
        <v>0</v>
      </c>
      <c r="G1187" s="1"/>
    </row>
    <row r="1188" spans="1:7" ht="14.1" customHeight="1">
      <c r="A1188" s="480">
        <v>4</v>
      </c>
      <c r="B1188" s="384"/>
      <c r="C1188" s="305"/>
      <c r="D1188" s="385"/>
      <c r="E1188" s="18"/>
      <c r="F1188" s="375">
        <f t="shared" si="59"/>
        <v>0</v>
      </c>
      <c r="G1188" s="1"/>
    </row>
    <row r="1189" spans="1:7" ht="14.1" customHeight="1">
      <c r="A1189" s="480">
        <v>5</v>
      </c>
      <c r="B1189" s="384"/>
      <c r="C1189" s="305"/>
      <c r="D1189" s="385"/>
      <c r="E1189" s="18"/>
      <c r="F1189" s="375">
        <f t="shared" si="59"/>
        <v>0</v>
      </c>
      <c r="G1189" s="1"/>
    </row>
    <row r="1190" spans="1:7" ht="14.1" customHeight="1">
      <c r="A1190" s="480">
        <v>6</v>
      </c>
      <c r="B1190" s="384"/>
      <c r="C1190" s="305"/>
      <c r="D1190" s="385"/>
      <c r="E1190" s="18"/>
      <c r="F1190" s="375">
        <f t="shared" si="59"/>
        <v>0</v>
      </c>
      <c r="G1190" s="1"/>
    </row>
    <row r="1191" spans="1:7" ht="14.1" customHeight="1">
      <c r="A1191" s="480">
        <v>7</v>
      </c>
      <c r="B1191" s="384"/>
      <c r="C1191" s="305"/>
      <c r="D1191" s="385"/>
      <c r="E1191" s="18"/>
      <c r="F1191" s="375">
        <f t="shared" si="59"/>
        <v>0</v>
      </c>
      <c r="G1191" s="1"/>
    </row>
    <row r="1192" spans="1:7" ht="14.1" customHeight="1">
      <c r="A1192" s="480">
        <v>8</v>
      </c>
      <c r="B1192" s="13"/>
      <c r="C1192" s="11"/>
      <c r="D1192" s="14"/>
      <c r="E1192" s="18"/>
      <c r="F1192" s="375">
        <f t="shared" si="59"/>
        <v>0</v>
      </c>
      <c r="G1192" s="1"/>
    </row>
    <row r="1193" spans="1:7" ht="14.1" customHeight="1">
      <c r="A1193" s="480">
        <v>9</v>
      </c>
      <c r="B1193" s="220"/>
      <c r="C1193" s="324"/>
      <c r="D1193" s="14"/>
      <c r="E1193" s="18"/>
      <c r="F1193" s="375">
        <f t="shared" si="59"/>
        <v>0</v>
      </c>
      <c r="G1193" s="1"/>
    </row>
    <row r="1194" spans="1:7" ht="14.1" customHeight="1">
      <c r="A1194" s="480">
        <v>10</v>
      </c>
      <c r="B1194" s="201"/>
      <c r="C1194" s="11"/>
      <c r="D1194" s="14"/>
      <c r="E1194" s="18"/>
      <c r="F1194" s="375">
        <f t="shared" si="59"/>
        <v>0</v>
      </c>
      <c r="G1194" s="1"/>
    </row>
    <row r="1195" spans="1:7" ht="14.1" customHeight="1">
      <c r="A1195" s="480">
        <v>11</v>
      </c>
      <c r="B1195" s="13"/>
      <c r="C1195" s="11"/>
      <c r="D1195" s="14"/>
      <c r="E1195" s="18"/>
      <c r="F1195" s="375">
        <f t="shared" si="59"/>
        <v>0</v>
      </c>
      <c r="G1195" s="1"/>
    </row>
    <row r="1196" spans="1:7" ht="14.1" customHeight="1" thickBot="1">
      <c r="A1196" s="480">
        <v>12</v>
      </c>
      <c r="B1196" s="13"/>
      <c r="C1196" s="11"/>
      <c r="D1196" s="11"/>
      <c r="E1196" s="18"/>
      <c r="F1196" s="375">
        <f t="shared" si="59"/>
        <v>0</v>
      </c>
      <c r="G1196" s="1"/>
    </row>
    <row r="1197" spans="1:7" ht="14.1" customHeight="1" thickBot="1">
      <c r="A1197" s="481"/>
      <c r="B1197" s="5"/>
      <c r="C1197" s="367"/>
      <c r="D1197" s="367"/>
      <c r="E1197" s="367" t="s">
        <v>151</v>
      </c>
      <c r="F1197" s="376">
        <f>SUM(F1185:F1196)</f>
        <v>20.12</v>
      </c>
      <c r="G1197" s="1"/>
    </row>
    <row r="1198" spans="1:7" ht="14.1" customHeight="1">
      <c r="A1198" s="482"/>
      <c r="B1198" s="325"/>
      <c r="C1198" s="328"/>
      <c r="D1198" s="328"/>
      <c r="E1198" s="328"/>
      <c r="F1198" s="328"/>
      <c r="G1198" s="1"/>
    </row>
    <row r="1199" spans="1:7" ht="14.1" customHeight="1">
      <c r="A1199" s="625" t="s">
        <v>152</v>
      </c>
      <c r="B1199" s="625"/>
      <c r="C1199" s="625"/>
      <c r="D1199" s="625"/>
      <c r="E1199" s="625"/>
      <c r="F1199" s="625"/>
      <c r="G1199" s="1"/>
    </row>
    <row r="1200" spans="1:7" ht="14.1" customHeight="1">
      <c r="A1200" s="482"/>
      <c r="B1200" s="325"/>
      <c r="C1200" s="328"/>
      <c r="D1200" s="328"/>
      <c r="E1200" s="328"/>
      <c r="F1200" s="367"/>
      <c r="G1200" s="1"/>
    </row>
    <row r="1201" spans="1:7" ht="14.1" customHeight="1">
      <c r="A1201" s="480">
        <v>13</v>
      </c>
      <c r="B1201" s="17" t="s">
        <v>153</v>
      </c>
      <c r="C1201" s="11" t="s">
        <v>154</v>
      </c>
      <c r="D1201" s="382"/>
      <c r="E1201" s="18">
        <f>'Mano de obra'!$J$20</f>
        <v>82.610000000000014</v>
      </c>
      <c r="F1201" s="375">
        <f>ROUND(D1201*E1201, 2)</f>
        <v>0</v>
      </c>
      <c r="G1201" s="1"/>
    </row>
    <row r="1202" spans="1:7" ht="14.1" customHeight="1">
      <c r="A1202" s="480">
        <v>14</v>
      </c>
      <c r="B1202" s="17" t="s">
        <v>155</v>
      </c>
      <c r="C1202" s="11" t="s">
        <v>154</v>
      </c>
      <c r="D1202" s="382">
        <v>0.5</v>
      </c>
      <c r="E1202" s="18">
        <f>'Mano de obra'!$J$21</f>
        <v>70.38</v>
      </c>
      <c r="F1202" s="375">
        <f t="shared" ref="F1202:F1205" si="60">ROUND(D1202*E1202, 2)</f>
        <v>35.19</v>
      </c>
      <c r="G1202" s="1"/>
    </row>
    <row r="1203" spans="1:7" ht="14.1" customHeight="1">
      <c r="A1203" s="480">
        <v>15</v>
      </c>
      <c r="B1203" s="17" t="s">
        <v>156</v>
      </c>
      <c r="C1203" s="11" t="s">
        <v>154</v>
      </c>
      <c r="D1203" s="382"/>
      <c r="E1203" s="18">
        <f>'Mano de obra'!$J$22</f>
        <v>64.78</v>
      </c>
      <c r="F1203" s="375">
        <f t="shared" si="60"/>
        <v>0</v>
      </c>
      <c r="G1203" s="1"/>
    </row>
    <row r="1204" spans="1:7" ht="14.1" customHeight="1">
      <c r="A1204" s="480">
        <v>16</v>
      </c>
      <c r="B1204" s="17" t="s">
        <v>157</v>
      </c>
      <c r="C1204" s="11" t="s">
        <v>154</v>
      </c>
      <c r="D1204" s="382">
        <v>0.4</v>
      </c>
      <c r="E1204" s="18">
        <f>'Mano de obra'!$J$23</f>
        <v>59.800000000000004</v>
      </c>
      <c r="F1204" s="375">
        <f t="shared" si="60"/>
        <v>23.92</v>
      </c>
      <c r="G1204" s="1"/>
    </row>
    <row r="1205" spans="1:7" ht="14.1" customHeight="1" thickBot="1">
      <c r="A1205" s="480">
        <v>17</v>
      </c>
      <c r="B1205" s="13"/>
      <c r="C1205" s="11"/>
      <c r="D1205" s="11"/>
      <c r="E1205" s="18"/>
      <c r="F1205" s="375">
        <f t="shared" si="60"/>
        <v>0</v>
      </c>
      <c r="G1205" s="1"/>
    </row>
    <row r="1206" spans="1:7" ht="14.1" customHeight="1" thickBot="1">
      <c r="A1206" s="483"/>
      <c r="B1206" s="325"/>
      <c r="C1206" s="328"/>
      <c r="D1206" s="328"/>
      <c r="E1206" s="367" t="s">
        <v>158</v>
      </c>
      <c r="F1206" s="376">
        <f>SUM(F1201:F1205)</f>
        <v>59.11</v>
      </c>
      <c r="G1206" s="1"/>
    </row>
    <row r="1207" spans="1:7" ht="14.1" customHeight="1" thickBot="1">
      <c r="A1207" s="484"/>
      <c r="B1207" s="325"/>
      <c r="C1207" s="328"/>
      <c r="D1207" s="328"/>
      <c r="E1207" s="328"/>
      <c r="F1207" s="367"/>
      <c r="G1207" s="1"/>
    </row>
    <row r="1208" spans="1:7" ht="14.1" customHeight="1" thickBot="1">
      <c r="A1208" s="480"/>
      <c r="B1208" s="142" t="s">
        <v>273</v>
      </c>
      <c r="C1208" s="369"/>
      <c r="D1208" s="369"/>
      <c r="E1208" s="377" t="s">
        <v>159</v>
      </c>
      <c r="F1208" s="376">
        <f>SUM(F1197+F1206)</f>
        <v>79.23</v>
      </c>
      <c r="G1208" s="1"/>
    </row>
    <row r="1209" spans="1:7" ht="15" customHeight="1">
      <c r="A1209" s="626"/>
      <c r="B1209" s="627" t="s">
        <v>274</v>
      </c>
      <c r="C1209" s="628"/>
      <c r="D1209" s="628"/>
      <c r="E1209" s="629" t="s">
        <v>275</v>
      </c>
      <c r="F1209" s="631">
        <f>ROUND(F1208*'Coef. resumen'!$F$23, 2)</f>
        <v>117.42</v>
      </c>
    </row>
    <row r="1210" spans="1:7" ht="15" customHeight="1" thickBot="1">
      <c r="A1210" s="626"/>
      <c r="B1210" s="627"/>
      <c r="C1210" s="628"/>
      <c r="D1210" s="628"/>
      <c r="E1210" s="630"/>
      <c r="F1210" s="632"/>
    </row>
    <row r="1211" spans="1:7" ht="15">
      <c r="A1211" s="471"/>
      <c r="B1211" s="2"/>
      <c r="C1211" s="329"/>
      <c r="D1211" s="329"/>
      <c r="E1211" s="329"/>
      <c r="F1211" s="329"/>
    </row>
    <row r="1212" spans="1:7" ht="15">
      <c r="A1212" s="471"/>
      <c r="B1212" s="2"/>
      <c r="C1212" s="329"/>
      <c r="D1212" s="329"/>
      <c r="E1212" s="329"/>
      <c r="F1212" s="329"/>
    </row>
    <row r="1213" spans="1:7" ht="15">
      <c r="A1213" s="471"/>
      <c r="B1213" s="194" t="str">
        <f>'Coef. resumen'!$B$30</f>
        <v>Julián Antonelli</v>
      </c>
      <c r="C1213" s="524"/>
      <c r="D1213" s="524"/>
      <c r="E1213" s="194" t="str">
        <f>'Coef. resumen'!$E$30</f>
        <v>Marcelo A. Pasquini</v>
      </c>
      <c r="F1213" s="329"/>
    </row>
    <row r="1214" spans="1:7" ht="15">
      <c r="A1214" s="471"/>
      <c r="B1214" s="194" t="str">
        <f>'Coef. resumen'!$B$31</f>
        <v>Ing. Civil M.P. 2161</v>
      </c>
      <c r="C1214" s="524"/>
      <c r="D1214" s="524"/>
      <c r="E1214" s="194" t="str">
        <f>'Coef. resumen'!$E$31</f>
        <v>Socio Gerente</v>
      </c>
      <c r="F1214" s="329"/>
    </row>
    <row r="1215" spans="1:7" ht="15">
      <c r="A1215" s="471"/>
      <c r="B1215" s="194" t="str">
        <f>'Coef. resumen'!$B$32</f>
        <v>Representante Técnico</v>
      </c>
      <c r="C1215" s="524"/>
      <c r="D1215" s="19"/>
      <c r="E1215" s="194" t="str">
        <f>'Coef. resumen'!$E$32</f>
        <v>Pasquini Construcciones SRL</v>
      </c>
      <c r="F1215" s="329"/>
    </row>
    <row r="1216" spans="1:7" ht="15">
      <c r="A1216" s="471"/>
      <c r="B1216" s="194"/>
      <c r="C1216" s="329"/>
      <c r="D1216" s="19"/>
      <c r="E1216" s="194"/>
      <c r="F1216" s="329"/>
    </row>
    <row r="1217" spans="1:7" ht="14.1" customHeight="1">
      <c r="A1217" s="477" t="s">
        <v>142</v>
      </c>
      <c r="B1217" s="613" t="str">
        <f>Presupuesto!B56</f>
        <v xml:space="preserve">Impermeabilización superior de losa </v>
      </c>
      <c r="C1217" s="614"/>
      <c r="D1217" s="615"/>
      <c r="E1217" s="367" t="s">
        <v>143</v>
      </c>
      <c r="F1217" s="30" t="str">
        <f>Presupuesto!C56</f>
        <v>m²</v>
      </c>
      <c r="G1217" s="1"/>
    </row>
    <row r="1218" spans="1:7" ht="14.1" customHeight="1">
      <c r="A1218" s="622" t="str">
        <f>Presupuesto!A56</f>
        <v>1.7.7</v>
      </c>
      <c r="B1218" s="616"/>
      <c r="C1218" s="617"/>
      <c r="D1218" s="618"/>
      <c r="E1218" s="367"/>
      <c r="F1218" s="367"/>
      <c r="G1218" s="1"/>
    </row>
    <row r="1219" spans="1:7" ht="14.1" customHeight="1">
      <c r="A1219" s="622"/>
      <c r="B1219" s="616"/>
      <c r="C1219" s="617"/>
      <c r="D1219" s="618"/>
      <c r="E1219" s="367"/>
      <c r="F1219" s="367"/>
      <c r="G1219" s="1"/>
    </row>
    <row r="1220" spans="1:7" ht="14.1" customHeight="1">
      <c r="A1220" s="623"/>
      <c r="B1220" s="619"/>
      <c r="C1220" s="620"/>
      <c r="D1220" s="621"/>
      <c r="E1220" s="367"/>
      <c r="F1220" s="367"/>
      <c r="G1220" s="1"/>
    </row>
    <row r="1221" spans="1:7" ht="14.1" customHeight="1">
      <c r="A1221" s="478"/>
      <c r="B1221" s="29"/>
      <c r="C1221" s="368"/>
      <c r="D1221" s="368"/>
      <c r="E1221" s="365"/>
      <c r="F1221" s="365"/>
      <c r="G1221" s="1"/>
    </row>
    <row r="1222" spans="1:7" ht="14.1" customHeight="1">
      <c r="A1222" s="624" t="s">
        <v>144</v>
      </c>
      <c r="B1222" s="624"/>
      <c r="C1222" s="624"/>
      <c r="D1222" s="624"/>
      <c r="E1222" s="624"/>
      <c r="F1222" s="624"/>
      <c r="G1222" s="1"/>
    </row>
    <row r="1223" spans="1:7" ht="14.1" customHeight="1">
      <c r="A1223" s="479"/>
      <c r="B1223" s="10"/>
      <c r="C1223" s="327"/>
      <c r="D1223" s="327"/>
      <c r="E1223" s="327"/>
      <c r="F1223" s="327"/>
      <c r="G1223" s="1"/>
    </row>
    <row r="1224" spans="1:7" ht="15.95" customHeight="1">
      <c r="A1224" s="480" t="s">
        <v>145</v>
      </c>
      <c r="B1224" s="11" t="s">
        <v>146</v>
      </c>
      <c r="C1224" s="11" t="s">
        <v>147</v>
      </c>
      <c r="D1224" s="11" t="s">
        <v>148</v>
      </c>
      <c r="E1224" s="12" t="s">
        <v>149</v>
      </c>
      <c r="F1224" s="11" t="s">
        <v>150</v>
      </c>
      <c r="G1224" s="1"/>
    </row>
    <row r="1225" spans="1:7" ht="14.1" customHeight="1">
      <c r="A1225" s="480">
        <v>1</v>
      </c>
      <c r="B1225" s="384" t="s">
        <v>1079</v>
      </c>
      <c r="C1225" s="305" t="s">
        <v>55</v>
      </c>
      <c r="D1225" s="385">
        <v>1.1000000000000001</v>
      </c>
      <c r="E1225" s="18">
        <v>25</v>
      </c>
      <c r="F1225" s="375">
        <f>ROUND(D1225*E1225, 2)</f>
        <v>27.5</v>
      </c>
      <c r="G1225" s="1"/>
    </row>
    <row r="1226" spans="1:7" ht="14.1" customHeight="1">
      <c r="A1226" s="480">
        <v>2</v>
      </c>
      <c r="B1226" s="383"/>
      <c r="C1226" s="305"/>
      <c r="D1226" s="385"/>
      <c r="E1226" s="18"/>
      <c r="F1226" s="375">
        <f t="shared" ref="F1226:F1236" si="61">ROUND(D1226*E1226, 2)</f>
        <v>0</v>
      </c>
      <c r="G1226" s="1"/>
    </row>
    <row r="1227" spans="1:7" ht="14.1" customHeight="1">
      <c r="A1227" s="480">
        <v>3</v>
      </c>
      <c r="B1227" s="384"/>
      <c r="C1227" s="305"/>
      <c r="D1227" s="385"/>
      <c r="E1227" s="18"/>
      <c r="F1227" s="375">
        <f t="shared" si="61"/>
        <v>0</v>
      </c>
      <c r="G1227" s="1"/>
    </row>
    <row r="1228" spans="1:7" ht="14.1" customHeight="1">
      <c r="A1228" s="480">
        <v>4</v>
      </c>
      <c r="B1228" s="384"/>
      <c r="C1228" s="305"/>
      <c r="D1228" s="385"/>
      <c r="E1228" s="18"/>
      <c r="F1228" s="375">
        <f t="shared" si="61"/>
        <v>0</v>
      </c>
      <c r="G1228" s="1"/>
    </row>
    <row r="1229" spans="1:7" ht="14.1" customHeight="1">
      <c r="A1229" s="480">
        <v>5</v>
      </c>
      <c r="B1229" s="384"/>
      <c r="C1229" s="305"/>
      <c r="D1229" s="385"/>
      <c r="E1229" s="18"/>
      <c r="F1229" s="375">
        <f t="shared" si="61"/>
        <v>0</v>
      </c>
      <c r="G1229" s="1"/>
    </row>
    <row r="1230" spans="1:7" ht="14.1" customHeight="1">
      <c r="A1230" s="480">
        <v>6</v>
      </c>
      <c r="B1230" s="384"/>
      <c r="C1230" s="305"/>
      <c r="D1230" s="385"/>
      <c r="E1230" s="18"/>
      <c r="F1230" s="375">
        <f t="shared" si="61"/>
        <v>0</v>
      </c>
      <c r="G1230" s="1"/>
    </row>
    <row r="1231" spans="1:7" ht="14.1" customHeight="1">
      <c r="A1231" s="480">
        <v>7</v>
      </c>
      <c r="B1231" s="384"/>
      <c r="C1231" s="305"/>
      <c r="D1231" s="385"/>
      <c r="E1231" s="18"/>
      <c r="F1231" s="375">
        <f t="shared" si="61"/>
        <v>0</v>
      </c>
      <c r="G1231" s="1"/>
    </row>
    <row r="1232" spans="1:7" ht="14.1" customHeight="1">
      <c r="A1232" s="480">
        <v>8</v>
      </c>
      <c r="B1232" s="13"/>
      <c r="C1232" s="11"/>
      <c r="D1232" s="14"/>
      <c r="E1232" s="18"/>
      <c r="F1232" s="375">
        <f t="shared" si="61"/>
        <v>0</v>
      </c>
      <c r="G1232" s="1"/>
    </row>
    <row r="1233" spans="1:7" ht="14.1" customHeight="1">
      <c r="A1233" s="480">
        <v>9</v>
      </c>
      <c r="B1233" s="220"/>
      <c r="C1233" s="324"/>
      <c r="D1233" s="14"/>
      <c r="E1233" s="18"/>
      <c r="F1233" s="375">
        <f t="shared" si="61"/>
        <v>0</v>
      </c>
      <c r="G1233" s="1"/>
    </row>
    <row r="1234" spans="1:7" ht="14.1" customHeight="1">
      <c r="A1234" s="480">
        <v>10</v>
      </c>
      <c r="B1234" s="201"/>
      <c r="C1234" s="11"/>
      <c r="D1234" s="14"/>
      <c r="E1234" s="18"/>
      <c r="F1234" s="375">
        <f t="shared" si="61"/>
        <v>0</v>
      </c>
      <c r="G1234" s="1"/>
    </row>
    <row r="1235" spans="1:7" ht="14.1" customHeight="1">
      <c r="A1235" s="480">
        <v>11</v>
      </c>
      <c r="B1235" s="13"/>
      <c r="C1235" s="11"/>
      <c r="D1235" s="14"/>
      <c r="E1235" s="18"/>
      <c r="F1235" s="375">
        <f t="shared" si="61"/>
        <v>0</v>
      </c>
      <c r="G1235" s="1"/>
    </row>
    <row r="1236" spans="1:7" ht="14.1" customHeight="1" thickBot="1">
      <c r="A1236" s="480">
        <v>12</v>
      </c>
      <c r="B1236" s="13"/>
      <c r="C1236" s="11"/>
      <c r="D1236" s="11"/>
      <c r="E1236" s="18"/>
      <c r="F1236" s="375">
        <f t="shared" si="61"/>
        <v>0</v>
      </c>
      <c r="G1236" s="1"/>
    </row>
    <row r="1237" spans="1:7" ht="14.1" customHeight="1" thickBot="1">
      <c r="A1237" s="481"/>
      <c r="B1237" s="5"/>
      <c r="C1237" s="367"/>
      <c r="D1237" s="367"/>
      <c r="E1237" s="367" t="s">
        <v>151</v>
      </c>
      <c r="F1237" s="376">
        <f>SUM(F1225:F1236)</f>
        <v>27.5</v>
      </c>
      <c r="G1237" s="1"/>
    </row>
    <row r="1238" spans="1:7" ht="14.1" customHeight="1">
      <c r="A1238" s="482"/>
      <c r="B1238" s="325"/>
      <c r="C1238" s="328"/>
      <c r="D1238" s="328"/>
      <c r="E1238" s="328"/>
      <c r="F1238" s="328"/>
      <c r="G1238" s="1"/>
    </row>
    <row r="1239" spans="1:7" ht="14.1" customHeight="1">
      <c r="A1239" s="625" t="s">
        <v>152</v>
      </c>
      <c r="B1239" s="625"/>
      <c r="C1239" s="625"/>
      <c r="D1239" s="625"/>
      <c r="E1239" s="625"/>
      <c r="F1239" s="625"/>
      <c r="G1239" s="1"/>
    </row>
    <row r="1240" spans="1:7" ht="14.1" customHeight="1">
      <c r="A1240" s="482"/>
      <c r="B1240" s="325"/>
      <c r="C1240" s="328"/>
      <c r="D1240" s="328"/>
      <c r="E1240" s="328"/>
      <c r="F1240" s="367"/>
      <c r="G1240" s="1"/>
    </row>
    <row r="1241" spans="1:7" ht="14.1" customHeight="1">
      <c r="A1241" s="480">
        <v>13</v>
      </c>
      <c r="B1241" s="17" t="s">
        <v>153</v>
      </c>
      <c r="C1241" s="11" t="s">
        <v>154</v>
      </c>
      <c r="D1241" s="382"/>
      <c r="E1241" s="18">
        <f>'Mano de obra'!$J$20</f>
        <v>82.610000000000014</v>
      </c>
      <c r="F1241" s="375">
        <f>ROUND(D1241*E1241, 2)</f>
        <v>0</v>
      </c>
      <c r="G1241" s="1"/>
    </row>
    <row r="1242" spans="1:7" ht="14.1" customHeight="1">
      <c r="A1242" s="480">
        <v>14</v>
      </c>
      <c r="B1242" s="17" t="s">
        <v>155</v>
      </c>
      <c r="C1242" s="11" t="s">
        <v>154</v>
      </c>
      <c r="D1242" s="382">
        <v>0.4</v>
      </c>
      <c r="E1242" s="18">
        <f>'Mano de obra'!$J$21</f>
        <v>70.38</v>
      </c>
      <c r="F1242" s="375">
        <f t="shared" ref="F1242:F1245" si="62">ROUND(D1242*E1242, 2)</f>
        <v>28.15</v>
      </c>
      <c r="G1242" s="1"/>
    </row>
    <row r="1243" spans="1:7" ht="14.1" customHeight="1">
      <c r="A1243" s="480">
        <v>15</v>
      </c>
      <c r="B1243" s="17" t="s">
        <v>156</v>
      </c>
      <c r="C1243" s="11" t="s">
        <v>154</v>
      </c>
      <c r="D1243" s="382"/>
      <c r="E1243" s="18">
        <f>'Mano de obra'!$J$22</f>
        <v>64.78</v>
      </c>
      <c r="F1243" s="375">
        <f t="shared" si="62"/>
        <v>0</v>
      </c>
      <c r="G1243" s="1"/>
    </row>
    <row r="1244" spans="1:7" ht="14.1" customHeight="1">
      <c r="A1244" s="480">
        <v>16</v>
      </c>
      <c r="B1244" s="17" t="s">
        <v>157</v>
      </c>
      <c r="C1244" s="11" t="s">
        <v>154</v>
      </c>
      <c r="D1244" s="382">
        <v>0.2</v>
      </c>
      <c r="E1244" s="18">
        <f>'Mano de obra'!$J$23</f>
        <v>59.800000000000004</v>
      </c>
      <c r="F1244" s="375">
        <f t="shared" si="62"/>
        <v>11.96</v>
      </c>
      <c r="G1244" s="1"/>
    </row>
    <row r="1245" spans="1:7" ht="14.1" customHeight="1" thickBot="1">
      <c r="A1245" s="480">
        <v>17</v>
      </c>
      <c r="B1245" s="13"/>
      <c r="C1245" s="11"/>
      <c r="D1245" s="11"/>
      <c r="E1245" s="18"/>
      <c r="F1245" s="375">
        <f t="shared" si="62"/>
        <v>0</v>
      </c>
      <c r="G1245" s="1"/>
    </row>
    <row r="1246" spans="1:7" ht="14.1" customHeight="1" thickBot="1">
      <c r="A1246" s="483"/>
      <c r="B1246" s="325"/>
      <c r="C1246" s="328"/>
      <c r="D1246" s="328"/>
      <c r="E1246" s="367" t="s">
        <v>158</v>
      </c>
      <c r="F1246" s="376">
        <f>SUM(F1241:F1245)</f>
        <v>40.11</v>
      </c>
      <c r="G1246" s="1"/>
    </row>
    <row r="1247" spans="1:7" ht="14.1" customHeight="1" thickBot="1">
      <c r="A1247" s="484"/>
      <c r="B1247" s="325"/>
      <c r="C1247" s="328"/>
      <c r="D1247" s="328"/>
      <c r="E1247" s="328"/>
      <c r="F1247" s="367"/>
      <c r="G1247" s="1"/>
    </row>
    <row r="1248" spans="1:7" ht="14.1" customHeight="1" thickBot="1">
      <c r="A1248" s="480"/>
      <c r="B1248" s="142" t="s">
        <v>273</v>
      </c>
      <c r="C1248" s="369"/>
      <c r="D1248" s="369"/>
      <c r="E1248" s="377" t="s">
        <v>159</v>
      </c>
      <c r="F1248" s="376">
        <f>SUM(F1237+F1246)</f>
        <v>67.61</v>
      </c>
      <c r="G1248" s="1"/>
    </row>
    <row r="1249" spans="1:7" ht="15" customHeight="1">
      <c r="A1249" s="626"/>
      <c r="B1249" s="627" t="s">
        <v>274</v>
      </c>
      <c r="C1249" s="628"/>
      <c r="D1249" s="628"/>
      <c r="E1249" s="629" t="s">
        <v>275</v>
      </c>
      <c r="F1249" s="631">
        <f>ROUND(F1248*'Coef. resumen'!$F$23, 2)</f>
        <v>100.2</v>
      </c>
    </row>
    <row r="1250" spans="1:7" ht="15" customHeight="1" thickBot="1">
      <c r="A1250" s="626"/>
      <c r="B1250" s="627"/>
      <c r="C1250" s="628"/>
      <c r="D1250" s="628"/>
      <c r="E1250" s="630"/>
      <c r="F1250" s="632"/>
    </row>
    <row r="1251" spans="1:7" ht="15">
      <c r="A1251" s="471"/>
      <c r="B1251" s="2"/>
      <c r="C1251" s="329"/>
      <c r="D1251" s="329"/>
      <c r="E1251" s="329"/>
      <c r="F1251" s="329"/>
    </row>
    <row r="1252" spans="1:7" ht="15">
      <c r="A1252" s="471"/>
      <c r="B1252" s="2"/>
      <c r="C1252" s="329"/>
      <c r="D1252" s="329"/>
      <c r="E1252" s="329"/>
      <c r="F1252" s="329"/>
    </row>
    <row r="1253" spans="1:7" ht="15">
      <c r="A1253" s="471"/>
      <c r="B1253" s="194" t="str">
        <f>'Coef. resumen'!$B$30</f>
        <v>Julián Antonelli</v>
      </c>
      <c r="C1253" s="524"/>
      <c r="D1253" s="524"/>
      <c r="E1253" s="194" t="str">
        <f>'Coef. resumen'!$E$30</f>
        <v>Marcelo A. Pasquini</v>
      </c>
      <c r="F1253" s="329"/>
    </row>
    <row r="1254" spans="1:7" ht="15">
      <c r="A1254" s="471"/>
      <c r="B1254" s="194" t="str">
        <f>'Coef. resumen'!$B$31</f>
        <v>Ing. Civil M.P. 2161</v>
      </c>
      <c r="C1254" s="524"/>
      <c r="D1254" s="524"/>
      <c r="E1254" s="194" t="str">
        <f>'Coef. resumen'!$E$31</f>
        <v>Socio Gerente</v>
      </c>
      <c r="F1254" s="329"/>
    </row>
    <row r="1255" spans="1:7" ht="15">
      <c r="A1255" s="471"/>
      <c r="B1255" s="194" t="str">
        <f>'Coef. resumen'!$B$32</f>
        <v>Representante Técnico</v>
      </c>
      <c r="C1255" s="524"/>
      <c r="D1255" s="19"/>
      <c r="E1255" s="194" t="str">
        <f>'Coef. resumen'!$E$32</f>
        <v>Pasquini Construcciones SRL</v>
      </c>
      <c r="F1255" s="329"/>
    </row>
    <row r="1256" spans="1:7" ht="15">
      <c r="A1256" s="471"/>
      <c r="B1256" s="194"/>
      <c r="C1256" s="329"/>
      <c r="D1256" s="19"/>
      <c r="E1256" s="194"/>
      <c r="F1256" s="329"/>
    </row>
    <row r="1257" spans="1:7" ht="14.1" customHeight="1">
      <c r="A1257" s="477" t="s">
        <v>142</v>
      </c>
      <c r="B1257" s="613" t="str">
        <f>Presupuesto!B57</f>
        <v>Tapas de acceso, ventilaciones y escalera externa e interna</v>
      </c>
      <c r="C1257" s="614"/>
      <c r="D1257" s="615"/>
      <c r="E1257" s="367" t="s">
        <v>143</v>
      </c>
      <c r="F1257" s="30" t="str">
        <f>Presupuesto!C57</f>
        <v>Gl</v>
      </c>
      <c r="G1257" s="1"/>
    </row>
    <row r="1258" spans="1:7" ht="14.1" customHeight="1">
      <c r="A1258" s="622" t="str">
        <f>Presupuesto!A57</f>
        <v>1.7.8</v>
      </c>
      <c r="B1258" s="616"/>
      <c r="C1258" s="617"/>
      <c r="D1258" s="618"/>
      <c r="E1258" s="367"/>
      <c r="F1258" s="367"/>
      <c r="G1258" s="1"/>
    </row>
    <row r="1259" spans="1:7" ht="14.1" customHeight="1">
      <c r="A1259" s="622"/>
      <c r="B1259" s="616"/>
      <c r="C1259" s="617"/>
      <c r="D1259" s="618"/>
      <c r="E1259" s="367"/>
      <c r="F1259" s="367"/>
      <c r="G1259" s="1"/>
    </row>
    <row r="1260" spans="1:7" ht="14.1" customHeight="1">
      <c r="A1260" s="623"/>
      <c r="B1260" s="619"/>
      <c r="C1260" s="620"/>
      <c r="D1260" s="621"/>
      <c r="E1260" s="367"/>
      <c r="F1260" s="367"/>
      <c r="G1260" s="1"/>
    </row>
    <row r="1261" spans="1:7" ht="14.1" customHeight="1">
      <c r="A1261" s="478"/>
      <c r="B1261" s="29"/>
      <c r="C1261" s="368"/>
      <c r="D1261" s="368"/>
      <c r="E1261" s="365"/>
      <c r="F1261" s="365"/>
      <c r="G1261" s="1"/>
    </row>
    <row r="1262" spans="1:7" ht="14.1" customHeight="1">
      <c r="A1262" s="624" t="s">
        <v>144</v>
      </c>
      <c r="B1262" s="624"/>
      <c r="C1262" s="624"/>
      <c r="D1262" s="624"/>
      <c r="E1262" s="624"/>
      <c r="F1262" s="624"/>
      <c r="G1262" s="1"/>
    </row>
    <row r="1263" spans="1:7" ht="14.1" customHeight="1">
      <c r="A1263" s="479"/>
      <c r="B1263" s="10"/>
      <c r="C1263" s="327"/>
      <c r="D1263" s="327"/>
      <c r="E1263" s="327"/>
      <c r="F1263" s="327"/>
      <c r="G1263" s="1"/>
    </row>
    <row r="1264" spans="1:7" ht="15.95" customHeight="1">
      <c r="A1264" s="480" t="s">
        <v>145</v>
      </c>
      <c r="B1264" s="11" t="s">
        <v>146</v>
      </c>
      <c r="C1264" s="11" t="s">
        <v>147</v>
      </c>
      <c r="D1264" s="11" t="s">
        <v>148</v>
      </c>
      <c r="E1264" s="12" t="s">
        <v>149</v>
      </c>
      <c r="F1264" s="11" t="s">
        <v>150</v>
      </c>
      <c r="G1264" s="1"/>
    </row>
    <row r="1265" spans="1:7" ht="14.1" customHeight="1">
      <c r="A1265" s="480">
        <v>1</v>
      </c>
      <c r="B1265" s="384" t="s">
        <v>1080</v>
      </c>
      <c r="C1265" s="305" t="s">
        <v>362</v>
      </c>
      <c r="D1265" s="385">
        <v>150</v>
      </c>
      <c r="E1265" s="18">
        <f>'MAT 31-10-2013'!R$41*1.2</f>
        <v>13.344333333333333</v>
      </c>
      <c r="F1265" s="375">
        <f>ROUND(D1265*E1265, 2)</f>
        <v>2001.65</v>
      </c>
      <c r="G1265" s="1"/>
    </row>
    <row r="1266" spans="1:7" ht="14.1" customHeight="1">
      <c r="A1266" s="480">
        <v>2</v>
      </c>
      <c r="B1266" s="383" t="s">
        <v>1081</v>
      </c>
      <c r="C1266" s="305" t="s">
        <v>4</v>
      </c>
      <c r="D1266" s="385">
        <v>30</v>
      </c>
      <c r="E1266" s="18">
        <f>'MAT 31-10-2013'!R$42</f>
        <v>52.283950617283949</v>
      </c>
      <c r="F1266" s="375">
        <f t="shared" ref="F1266:F1276" si="63">ROUND(D1266*E1266, 2)</f>
        <v>1568.52</v>
      </c>
      <c r="G1266" s="1"/>
    </row>
    <row r="1267" spans="1:7" ht="14.1" customHeight="1">
      <c r="A1267" s="480">
        <v>3</v>
      </c>
      <c r="B1267" s="384" t="s">
        <v>1082</v>
      </c>
      <c r="C1267" s="305" t="s">
        <v>362</v>
      </c>
      <c r="D1267" s="385">
        <v>10</v>
      </c>
      <c r="E1267" s="18">
        <f>'MAT 31-10-2013'!R$46</f>
        <v>55.723611111111111</v>
      </c>
      <c r="F1267" s="375">
        <f t="shared" si="63"/>
        <v>557.24</v>
      </c>
      <c r="G1267" s="1"/>
    </row>
    <row r="1268" spans="1:7" ht="14.1" customHeight="1">
      <c r="A1268" s="480">
        <v>4</v>
      </c>
      <c r="B1268" s="384" t="s">
        <v>1083</v>
      </c>
      <c r="C1268" s="305" t="s">
        <v>1077</v>
      </c>
      <c r="D1268" s="385">
        <v>10</v>
      </c>
      <c r="E1268" s="18">
        <f>'MAT 31-10-2013'!R$141*1.2/20</f>
        <v>39.402439999999999</v>
      </c>
      <c r="F1268" s="375">
        <f t="shared" si="63"/>
        <v>394.02</v>
      </c>
      <c r="G1268" s="1"/>
    </row>
    <row r="1269" spans="1:7" ht="14.1" customHeight="1">
      <c r="A1269" s="480">
        <v>5</v>
      </c>
      <c r="B1269" s="384" t="s">
        <v>1084</v>
      </c>
      <c r="C1269" s="305" t="s">
        <v>1077</v>
      </c>
      <c r="D1269" s="385">
        <v>20</v>
      </c>
      <c r="E1269" s="18">
        <f>'MAT 31-10-2013'!R$138*1.2/20</f>
        <v>39.852761666666666</v>
      </c>
      <c r="F1269" s="375">
        <f t="shared" si="63"/>
        <v>797.06</v>
      </c>
      <c r="G1269" s="1"/>
    </row>
    <row r="1270" spans="1:7" ht="14.1" customHeight="1">
      <c r="A1270" s="480">
        <v>6</v>
      </c>
      <c r="B1270" s="384"/>
      <c r="C1270" s="305"/>
      <c r="D1270" s="385"/>
      <c r="E1270" s="18"/>
      <c r="F1270" s="375">
        <f t="shared" si="63"/>
        <v>0</v>
      </c>
      <c r="G1270" s="1"/>
    </row>
    <row r="1271" spans="1:7" ht="14.1" customHeight="1">
      <c r="A1271" s="480">
        <v>7</v>
      </c>
      <c r="B1271" s="384"/>
      <c r="C1271" s="305"/>
      <c r="D1271" s="385"/>
      <c r="E1271" s="18"/>
      <c r="F1271" s="375">
        <f t="shared" si="63"/>
        <v>0</v>
      </c>
      <c r="G1271" s="1"/>
    </row>
    <row r="1272" spans="1:7" ht="14.1" customHeight="1">
      <c r="A1272" s="480">
        <v>8</v>
      </c>
      <c r="B1272" s="13"/>
      <c r="C1272" s="11"/>
      <c r="D1272" s="14"/>
      <c r="E1272" s="18"/>
      <c r="F1272" s="375">
        <f t="shared" si="63"/>
        <v>0</v>
      </c>
      <c r="G1272" s="1"/>
    </row>
    <row r="1273" spans="1:7" ht="14.1" customHeight="1">
      <c r="A1273" s="480">
        <v>9</v>
      </c>
      <c r="B1273" s="220"/>
      <c r="C1273" s="324"/>
      <c r="D1273" s="14"/>
      <c r="E1273" s="18"/>
      <c r="F1273" s="375">
        <f t="shared" si="63"/>
        <v>0</v>
      </c>
      <c r="G1273" s="1"/>
    </row>
    <row r="1274" spans="1:7" ht="14.1" customHeight="1">
      <c r="A1274" s="480">
        <v>10</v>
      </c>
      <c r="B1274" s="201"/>
      <c r="C1274" s="11"/>
      <c r="D1274" s="14"/>
      <c r="E1274" s="18"/>
      <c r="F1274" s="375">
        <f t="shared" si="63"/>
        <v>0</v>
      </c>
      <c r="G1274" s="1"/>
    </row>
    <row r="1275" spans="1:7" ht="14.1" customHeight="1">
      <c r="A1275" s="480">
        <v>11</v>
      </c>
      <c r="B1275" s="13"/>
      <c r="C1275" s="11"/>
      <c r="D1275" s="14"/>
      <c r="E1275" s="18"/>
      <c r="F1275" s="375">
        <f t="shared" si="63"/>
        <v>0</v>
      </c>
      <c r="G1275" s="1"/>
    </row>
    <row r="1276" spans="1:7" ht="14.1" customHeight="1" thickBot="1">
      <c r="A1276" s="480">
        <v>12</v>
      </c>
      <c r="B1276" s="13"/>
      <c r="C1276" s="11"/>
      <c r="D1276" s="11"/>
      <c r="E1276" s="18"/>
      <c r="F1276" s="375">
        <f t="shared" si="63"/>
        <v>0</v>
      </c>
      <c r="G1276" s="1"/>
    </row>
    <row r="1277" spans="1:7" ht="14.1" customHeight="1" thickBot="1">
      <c r="A1277" s="481"/>
      <c r="B1277" s="5"/>
      <c r="C1277" s="367"/>
      <c r="D1277" s="367"/>
      <c r="E1277" s="367" t="s">
        <v>151</v>
      </c>
      <c r="F1277" s="376">
        <f>SUM(F1265:F1276)</f>
        <v>5318.49</v>
      </c>
      <c r="G1277" s="1"/>
    </row>
    <row r="1278" spans="1:7" ht="14.1" customHeight="1">
      <c r="A1278" s="482"/>
      <c r="B1278" s="325"/>
      <c r="C1278" s="328"/>
      <c r="D1278" s="328"/>
      <c r="E1278" s="328"/>
      <c r="F1278" s="328"/>
      <c r="G1278" s="1"/>
    </row>
    <row r="1279" spans="1:7" ht="14.1" customHeight="1">
      <c r="A1279" s="625" t="s">
        <v>152</v>
      </c>
      <c r="B1279" s="625"/>
      <c r="C1279" s="625"/>
      <c r="D1279" s="625"/>
      <c r="E1279" s="625"/>
      <c r="F1279" s="625"/>
      <c r="G1279" s="1"/>
    </row>
    <row r="1280" spans="1:7" ht="14.1" customHeight="1">
      <c r="A1280" s="482"/>
      <c r="B1280" s="325"/>
      <c r="C1280" s="328"/>
      <c r="D1280" s="328"/>
      <c r="E1280" s="328"/>
      <c r="F1280" s="367"/>
      <c r="G1280" s="1"/>
    </row>
    <row r="1281" spans="1:7" ht="14.1" customHeight="1">
      <c r="A1281" s="480">
        <v>13</v>
      </c>
      <c r="B1281" s="17" t="s">
        <v>153</v>
      </c>
      <c r="C1281" s="11" t="s">
        <v>154</v>
      </c>
      <c r="D1281" s="382">
        <v>24</v>
      </c>
      <c r="E1281" s="18">
        <f>'Mano de obra'!$J$20</f>
        <v>82.610000000000014</v>
      </c>
      <c r="F1281" s="375">
        <f>ROUND(D1281*E1281, 2)</f>
        <v>1982.64</v>
      </c>
      <c r="G1281" s="1"/>
    </row>
    <row r="1282" spans="1:7" ht="14.1" customHeight="1">
      <c r="A1282" s="480">
        <v>14</v>
      </c>
      <c r="B1282" s="17" t="s">
        <v>155</v>
      </c>
      <c r="C1282" s="11" t="s">
        <v>154</v>
      </c>
      <c r="D1282" s="382">
        <v>24</v>
      </c>
      <c r="E1282" s="18">
        <f>'Mano de obra'!$J$21</f>
        <v>70.38</v>
      </c>
      <c r="F1282" s="375">
        <f t="shared" ref="F1282:F1285" si="64">ROUND(D1282*E1282, 2)</f>
        <v>1689.12</v>
      </c>
      <c r="G1282" s="1"/>
    </row>
    <row r="1283" spans="1:7" ht="14.1" customHeight="1">
      <c r="A1283" s="480">
        <v>15</v>
      </c>
      <c r="B1283" s="17" t="s">
        <v>156</v>
      </c>
      <c r="C1283" s="11" t="s">
        <v>154</v>
      </c>
      <c r="D1283" s="382"/>
      <c r="E1283" s="18">
        <f>'Mano de obra'!$J$22</f>
        <v>64.78</v>
      </c>
      <c r="F1283" s="375">
        <f t="shared" si="64"/>
        <v>0</v>
      </c>
      <c r="G1283" s="1"/>
    </row>
    <row r="1284" spans="1:7" ht="14.1" customHeight="1">
      <c r="A1284" s="480">
        <v>16</v>
      </c>
      <c r="B1284" s="17" t="s">
        <v>157</v>
      </c>
      <c r="C1284" s="11" t="s">
        <v>154</v>
      </c>
      <c r="D1284" s="382">
        <v>24</v>
      </c>
      <c r="E1284" s="18">
        <f>'Mano de obra'!$J$23</f>
        <v>59.800000000000004</v>
      </c>
      <c r="F1284" s="375">
        <f t="shared" si="64"/>
        <v>1435.2</v>
      </c>
      <c r="G1284" s="1"/>
    </row>
    <row r="1285" spans="1:7" ht="14.1" customHeight="1" thickBot="1">
      <c r="A1285" s="480">
        <v>17</v>
      </c>
      <c r="B1285" s="13"/>
      <c r="C1285" s="11"/>
      <c r="D1285" s="11"/>
      <c r="E1285" s="18"/>
      <c r="F1285" s="375">
        <f t="shared" si="64"/>
        <v>0</v>
      </c>
      <c r="G1285" s="1"/>
    </row>
    <row r="1286" spans="1:7" ht="14.1" customHeight="1" thickBot="1">
      <c r="A1286" s="483"/>
      <c r="B1286" s="325"/>
      <c r="C1286" s="328"/>
      <c r="D1286" s="328"/>
      <c r="E1286" s="367" t="s">
        <v>158</v>
      </c>
      <c r="F1286" s="376">
        <f>SUM(F1281:F1285)</f>
        <v>5106.96</v>
      </c>
      <c r="G1286" s="1"/>
    </row>
    <row r="1287" spans="1:7" ht="14.1" customHeight="1" thickBot="1">
      <c r="A1287" s="484"/>
      <c r="B1287" s="325"/>
      <c r="C1287" s="328"/>
      <c r="D1287" s="328"/>
      <c r="E1287" s="328"/>
      <c r="F1287" s="367"/>
      <c r="G1287" s="1"/>
    </row>
    <row r="1288" spans="1:7" ht="14.1" customHeight="1" thickBot="1">
      <c r="A1288" s="480"/>
      <c r="B1288" s="142" t="s">
        <v>273</v>
      </c>
      <c r="C1288" s="369"/>
      <c r="D1288" s="369"/>
      <c r="E1288" s="377" t="s">
        <v>159</v>
      </c>
      <c r="F1288" s="376">
        <f>SUM(F1277+F1286)</f>
        <v>10425.450000000001</v>
      </c>
      <c r="G1288" s="1"/>
    </row>
    <row r="1289" spans="1:7" ht="15" customHeight="1">
      <c r="A1289" s="626"/>
      <c r="B1289" s="627" t="s">
        <v>274</v>
      </c>
      <c r="C1289" s="628"/>
      <c r="D1289" s="628"/>
      <c r="E1289" s="629" t="s">
        <v>275</v>
      </c>
      <c r="F1289" s="631">
        <f>ROUND(F1288*'Coef. resumen'!$F$23, 2)</f>
        <v>15450.52</v>
      </c>
    </row>
    <row r="1290" spans="1:7" ht="15" customHeight="1" thickBot="1">
      <c r="A1290" s="626"/>
      <c r="B1290" s="627"/>
      <c r="C1290" s="628"/>
      <c r="D1290" s="628"/>
      <c r="E1290" s="630"/>
      <c r="F1290" s="632"/>
    </row>
    <row r="1291" spans="1:7" ht="15">
      <c r="A1291" s="471"/>
      <c r="B1291" s="2"/>
      <c r="C1291" s="329"/>
      <c r="D1291" s="329"/>
      <c r="E1291" s="329"/>
      <c r="F1291" s="329"/>
    </row>
    <row r="1292" spans="1:7" ht="15">
      <c r="A1292" s="471"/>
      <c r="B1292" s="2"/>
      <c r="C1292" s="329"/>
      <c r="D1292" s="329"/>
      <c r="E1292" s="329"/>
      <c r="F1292" s="329"/>
    </row>
    <row r="1293" spans="1:7" ht="15">
      <c r="A1293" s="471"/>
      <c r="B1293" s="194" t="str">
        <f>'Coef. resumen'!$B$30</f>
        <v>Julián Antonelli</v>
      </c>
      <c r="C1293" s="524"/>
      <c r="D1293" s="524"/>
      <c r="E1293" s="194" t="str">
        <f>'Coef. resumen'!$E$30</f>
        <v>Marcelo A. Pasquini</v>
      </c>
      <c r="F1293" s="329"/>
    </row>
    <row r="1294" spans="1:7" ht="15">
      <c r="A1294" s="471"/>
      <c r="B1294" s="194" t="str">
        <f>'Coef. resumen'!$B$31</f>
        <v>Ing. Civil M.P. 2161</v>
      </c>
      <c r="C1294" s="524"/>
      <c r="D1294" s="524"/>
      <c r="E1294" s="194" t="str">
        <f>'Coef. resumen'!$E$31</f>
        <v>Socio Gerente</v>
      </c>
      <c r="F1294" s="329"/>
    </row>
    <row r="1295" spans="1:7" ht="15">
      <c r="A1295" s="471"/>
      <c r="B1295" s="194" t="str">
        <f>'Coef. resumen'!$B$32</f>
        <v>Representante Técnico</v>
      </c>
      <c r="C1295" s="524"/>
      <c r="D1295" s="19"/>
      <c r="E1295" s="194" t="str">
        <f>'Coef. resumen'!$E$32</f>
        <v>Pasquini Construcciones SRL</v>
      </c>
      <c r="F1295" s="329"/>
    </row>
    <row r="1296" spans="1:7" ht="15">
      <c r="A1296" s="471"/>
      <c r="B1296" s="194"/>
      <c r="C1296" s="329"/>
      <c r="D1296" s="19"/>
      <c r="E1296" s="194"/>
      <c r="F1296" s="329"/>
    </row>
    <row r="1297" spans="1:7" ht="14.1" customHeight="1">
      <c r="A1297" s="477" t="s">
        <v>142</v>
      </c>
      <c r="B1297" s="613" t="str">
        <f>Presupuesto!B58</f>
        <v>Cañerías de Hierro Galvanizado, válvulas, accesorios y cámaras para la entrada, salida, by-pass, desborde y limpieza con sus cámaras de material y tapas de hierro.</v>
      </c>
      <c r="C1297" s="614"/>
      <c r="D1297" s="615"/>
      <c r="E1297" s="367" t="s">
        <v>143</v>
      </c>
      <c r="F1297" s="30" t="str">
        <f>Presupuesto!C58</f>
        <v>Gl</v>
      </c>
      <c r="G1297" s="1"/>
    </row>
    <row r="1298" spans="1:7" ht="14.1" customHeight="1">
      <c r="A1298" s="622" t="str">
        <f>Presupuesto!A58</f>
        <v>1.7.9</v>
      </c>
      <c r="B1298" s="616"/>
      <c r="C1298" s="617"/>
      <c r="D1298" s="618"/>
      <c r="E1298" s="367"/>
      <c r="F1298" s="367"/>
      <c r="G1298" s="1"/>
    </row>
    <row r="1299" spans="1:7" ht="14.1" customHeight="1">
      <c r="A1299" s="622"/>
      <c r="B1299" s="616"/>
      <c r="C1299" s="617"/>
      <c r="D1299" s="618"/>
      <c r="E1299" s="367"/>
      <c r="F1299" s="367"/>
      <c r="G1299" s="1"/>
    </row>
    <row r="1300" spans="1:7" ht="14.1" customHeight="1">
      <c r="A1300" s="623"/>
      <c r="B1300" s="619"/>
      <c r="C1300" s="620"/>
      <c r="D1300" s="621"/>
      <c r="E1300" s="367"/>
      <c r="F1300" s="367"/>
      <c r="G1300" s="1"/>
    </row>
    <row r="1301" spans="1:7" ht="14.1" customHeight="1">
      <c r="A1301" s="478"/>
      <c r="B1301" s="29"/>
      <c r="C1301" s="368"/>
      <c r="D1301" s="368"/>
      <c r="E1301" s="365"/>
      <c r="F1301" s="365"/>
      <c r="G1301" s="1"/>
    </row>
    <row r="1302" spans="1:7" ht="14.1" customHeight="1">
      <c r="A1302" s="624" t="s">
        <v>144</v>
      </c>
      <c r="B1302" s="624"/>
      <c r="C1302" s="624"/>
      <c r="D1302" s="624"/>
      <c r="E1302" s="624"/>
      <c r="F1302" s="624"/>
      <c r="G1302" s="1"/>
    </row>
    <row r="1303" spans="1:7" ht="14.1" customHeight="1">
      <c r="A1303" s="479"/>
      <c r="B1303" s="10"/>
      <c r="C1303" s="327"/>
      <c r="D1303" s="327"/>
      <c r="E1303" s="327"/>
      <c r="F1303" s="327"/>
      <c r="G1303" s="1"/>
    </row>
    <row r="1304" spans="1:7" ht="15.95" customHeight="1">
      <c r="A1304" s="480" t="s">
        <v>145</v>
      </c>
      <c r="B1304" s="11" t="s">
        <v>146</v>
      </c>
      <c r="C1304" s="11" t="s">
        <v>147</v>
      </c>
      <c r="D1304" s="11" t="s">
        <v>148</v>
      </c>
      <c r="E1304" s="12" t="s">
        <v>149</v>
      </c>
      <c r="F1304" s="11" t="s">
        <v>150</v>
      </c>
      <c r="G1304" s="1"/>
    </row>
    <row r="1305" spans="1:7" ht="14.1" customHeight="1">
      <c r="A1305" s="480">
        <v>1</v>
      </c>
      <c r="B1305" s="384" t="s">
        <v>1087</v>
      </c>
      <c r="C1305" s="305" t="s">
        <v>12</v>
      </c>
      <c r="D1305" s="385">
        <v>40</v>
      </c>
      <c r="E1305" s="18">
        <v>530</v>
      </c>
      <c r="F1305" s="375">
        <f>ROUND(D1305*E1305, 2)</f>
        <v>21200</v>
      </c>
      <c r="G1305" s="1"/>
    </row>
    <row r="1306" spans="1:7" ht="14.1" customHeight="1">
      <c r="A1306" s="480">
        <v>2</v>
      </c>
      <c r="B1306" s="383" t="s">
        <v>1088</v>
      </c>
      <c r="C1306" s="305" t="s">
        <v>1026</v>
      </c>
      <c r="D1306" s="385">
        <v>1</v>
      </c>
      <c r="E1306" s="18">
        <f>0.45*F1305</f>
        <v>9540</v>
      </c>
      <c r="F1306" s="375">
        <f t="shared" ref="F1306:F1316" si="65">ROUND(D1306*E1306, 2)</f>
        <v>9540</v>
      </c>
      <c r="G1306" s="1"/>
    </row>
    <row r="1307" spans="1:7" ht="14.1" customHeight="1">
      <c r="A1307" s="480">
        <v>3</v>
      </c>
      <c r="B1307" s="384" t="s">
        <v>1002</v>
      </c>
      <c r="C1307" s="305" t="s">
        <v>362</v>
      </c>
      <c r="D1307" s="385">
        <v>250</v>
      </c>
      <c r="E1307" s="18">
        <f>'MAT 31-10-2013'!R$14</f>
        <v>1.013611111111111</v>
      </c>
      <c r="F1307" s="375">
        <f t="shared" si="65"/>
        <v>253.4</v>
      </c>
      <c r="G1307" s="1"/>
    </row>
    <row r="1308" spans="1:7" ht="14.1" customHeight="1">
      <c r="A1308" s="480">
        <v>4</v>
      </c>
      <c r="B1308" s="384" t="s">
        <v>328</v>
      </c>
      <c r="C1308" s="305" t="s">
        <v>53</v>
      </c>
      <c r="D1308" s="385">
        <v>0.7</v>
      </c>
      <c r="E1308" s="18">
        <f>'MAT 31-10-2013'!R$5</f>
        <v>39.059027777777771</v>
      </c>
      <c r="F1308" s="375">
        <f t="shared" si="65"/>
        <v>27.34</v>
      </c>
      <c r="G1308" s="1"/>
    </row>
    <row r="1309" spans="1:7" ht="14.1" customHeight="1">
      <c r="A1309" s="480">
        <v>5</v>
      </c>
      <c r="B1309" s="384" t="s">
        <v>1089</v>
      </c>
      <c r="C1309" s="305" t="s">
        <v>3</v>
      </c>
      <c r="D1309" s="385">
        <v>500</v>
      </c>
      <c r="E1309" s="18">
        <f>'MAT 31-10-2013'!R$59</f>
        <v>2.3197887970615243</v>
      </c>
      <c r="F1309" s="375">
        <f t="shared" si="65"/>
        <v>1159.8900000000001</v>
      </c>
      <c r="G1309" s="1"/>
    </row>
    <row r="1310" spans="1:7" ht="14.1" customHeight="1">
      <c r="A1310" s="480">
        <v>6</v>
      </c>
      <c r="B1310" s="384" t="s">
        <v>1090</v>
      </c>
      <c r="C1310" s="305" t="s">
        <v>362</v>
      </c>
      <c r="D1310" s="385">
        <v>250</v>
      </c>
      <c r="E1310" s="18">
        <f>'MAT 31-10-2013'!R$40*1.2</f>
        <v>12.747854821802934</v>
      </c>
      <c r="F1310" s="375">
        <f t="shared" si="65"/>
        <v>3186.96</v>
      </c>
      <c r="G1310" s="1"/>
    </row>
    <row r="1311" spans="1:7" ht="14.1" customHeight="1">
      <c r="A1311" s="480">
        <v>7</v>
      </c>
      <c r="B1311" s="384"/>
      <c r="C1311" s="305"/>
      <c r="D1311" s="385"/>
      <c r="E1311" s="18"/>
      <c r="F1311" s="375">
        <f t="shared" si="65"/>
        <v>0</v>
      </c>
      <c r="G1311" s="1"/>
    </row>
    <row r="1312" spans="1:7" ht="14.1" customHeight="1">
      <c r="A1312" s="480">
        <v>8</v>
      </c>
      <c r="B1312" s="13"/>
      <c r="C1312" s="11"/>
      <c r="D1312" s="14"/>
      <c r="E1312" s="18"/>
      <c r="F1312" s="375">
        <f t="shared" si="65"/>
        <v>0</v>
      </c>
      <c r="G1312" s="1"/>
    </row>
    <row r="1313" spans="1:7" ht="14.1" customHeight="1">
      <c r="A1313" s="480">
        <v>9</v>
      </c>
      <c r="B1313" s="220"/>
      <c r="C1313" s="324"/>
      <c r="D1313" s="14"/>
      <c r="E1313" s="18"/>
      <c r="F1313" s="375">
        <f t="shared" si="65"/>
        <v>0</v>
      </c>
      <c r="G1313" s="1"/>
    </row>
    <row r="1314" spans="1:7" ht="14.1" customHeight="1">
      <c r="A1314" s="480">
        <v>10</v>
      </c>
      <c r="B1314" s="201"/>
      <c r="C1314" s="11"/>
      <c r="D1314" s="14"/>
      <c r="E1314" s="18"/>
      <c r="F1314" s="375">
        <f t="shared" si="65"/>
        <v>0</v>
      </c>
      <c r="G1314" s="1"/>
    </row>
    <row r="1315" spans="1:7" ht="14.1" customHeight="1">
      <c r="A1315" s="480">
        <v>11</v>
      </c>
      <c r="B1315" s="13"/>
      <c r="C1315" s="11"/>
      <c r="D1315" s="14"/>
      <c r="E1315" s="18"/>
      <c r="F1315" s="375">
        <f t="shared" si="65"/>
        <v>0</v>
      </c>
      <c r="G1315" s="1"/>
    </row>
    <row r="1316" spans="1:7" ht="14.1" customHeight="1" thickBot="1">
      <c r="A1316" s="480">
        <v>12</v>
      </c>
      <c r="B1316" s="13"/>
      <c r="C1316" s="11"/>
      <c r="D1316" s="11"/>
      <c r="E1316" s="18"/>
      <c r="F1316" s="375">
        <f t="shared" si="65"/>
        <v>0</v>
      </c>
      <c r="G1316" s="1"/>
    </row>
    <row r="1317" spans="1:7" ht="14.1" customHeight="1" thickBot="1">
      <c r="A1317" s="481"/>
      <c r="B1317" s="5"/>
      <c r="C1317" s="367"/>
      <c r="D1317" s="367"/>
      <c r="E1317" s="367" t="s">
        <v>151</v>
      </c>
      <c r="F1317" s="376">
        <f>SUM(F1305:F1316)</f>
        <v>35367.590000000004</v>
      </c>
      <c r="G1317" s="1"/>
    </row>
    <row r="1318" spans="1:7" ht="14.1" customHeight="1">
      <c r="A1318" s="482"/>
      <c r="B1318" s="325"/>
      <c r="C1318" s="328"/>
      <c r="D1318" s="328"/>
      <c r="E1318" s="328"/>
      <c r="F1318" s="328"/>
      <c r="G1318" s="1"/>
    </row>
    <row r="1319" spans="1:7" ht="14.1" customHeight="1">
      <c r="A1319" s="625" t="s">
        <v>152</v>
      </c>
      <c r="B1319" s="625"/>
      <c r="C1319" s="625"/>
      <c r="D1319" s="625"/>
      <c r="E1319" s="625"/>
      <c r="F1319" s="625"/>
      <c r="G1319" s="1"/>
    </row>
    <row r="1320" spans="1:7" ht="14.1" customHeight="1">
      <c r="A1320" s="482"/>
      <c r="B1320" s="325"/>
      <c r="C1320" s="328"/>
      <c r="D1320" s="328"/>
      <c r="E1320" s="328"/>
      <c r="F1320" s="367"/>
      <c r="G1320" s="1"/>
    </row>
    <row r="1321" spans="1:7" ht="14.1" customHeight="1">
      <c r="A1321" s="480">
        <v>13</v>
      </c>
      <c r="B1321" s="17" t="s">
        <v>153</v>
      </c>
      <c r="C1321" s="11" t="s">
        <v>154</v>
      </c>
      <c r="D1321" s="382">
        <v>30</v>
      </c>
      <c r="E1321" s="18">
        <f>'Mano de obra'!$J$20</f>
        <v>82.610000000000014</v>
      </c>
      <c r="F1321" s="375">
        <f>ROUND(D1321*E1321, 2)</f>
        <v>2478.3000000000002</v>
      </c>
      <c r="G1321" s="1"/>
    </row>
    <row r="1322" spans="1:7" ht="14.1" customHeight="1">
      <c r="A1322" s="480">
        <v>14</v>
      </c>
      <c r="B1322" s="17" t="s">
        <v>155</v>
      </c>
      <c r="C1322" s="11" t="s">
        <v>154</v>
      </c>
      <c r="D1322" s="382">
        <v>40</v>
      </c>
      <c r="E1322" s="18">
        <f>'Mano de obra'!$J$21</f>
        <v>70.38</v>
      </c>
      <c r="F1322" s="375">
        <f t="shared" ref="F1322:F1325" si="66">ROUND(D1322*E1322, 2)</f>
        <v>2815.2</v>
      </c>
      <c r="G1322" s="1"/>
    </row>
    <row r="1323" spans="1:7" ht="14.1" customHeight="1">
      <c r="A1323" s="480">
        <v>15</v>
      </c>
      <c r="B1323" s="17" t="s">
        <v>156</v>
      </c>
      <c r="C1323" s="11" t="s">
        <v>154</v>
      </c>
      <c r="D1323" s="382"/>
      <c r="E1323" s="18">
        <f>'Mano de obra'!$J$22</f>
        <v>64.78</v>
      </c>
      <c r="F1323" s="375">
        <f t="shared" si="66"/>
        <v>0</v>
      </c>
      <c r="G1323" s="1"/>
    </row>
    <row r="1324" spans="1:7" ht="14.1" customHeight="1">
      <c r="A1324" s="480">
        <v>16</v>
      </c>
      <c r="B1324" s="17" t="s">
        <v>157</v>
      </c>
      <c r="C1324" s="11" t="s">
        <v>154</v>
      </c>
      <c r="D1324" s="382">
        <v>80</v>
      </c>
      <c r="E1324" s="18">
        <f>'Mano de obra'!$J$23</f>
        <v>59.800000000000004</v>
      </c>
      <c r="F1324" s="375">
        <f t="shared" si="66"/>
        <v>4784</v>
      </c>
      <c r="G1324" s="1"/>
    </row>
    <row r="1325" spans="1:7" ht="14.1" customHeight="1" thickBot="1">
      <c r="A1325" s="480">
        <v>17</v>
      </c>
      <c r="B1325" s="13"/>
      <c r="C1325" s="11"/>
      <c r="D1325" s="11"/>
      <c r="E1325" s="18"/>
      <c r="F1325" s="375">
        <f t="shared" si="66"/>
        <v>0</v>
      </c>
      <c r="G1325" s="1"/>
    </row>
    <row r="1326" spans="1:7" ht="14.1" customHeight="1" thickBot="1">
      <c r="A1326" s="483"/>
      <c r="B1326" s="325"/>
      <c r="C1326" s="328"/>
      <c r="D1326" s="328"/>
      <c r="E1326" s="367" t="s">
        <v>158</v>
      </c>
      <c r="F1326" s="376">
        <f>SUM(F1321:F1325)</f>
        <v>10077.5</v>
      </c>
      <c r="G1326" s="1"/>
    </row>
    <row r="1327" spans="1:7" ht="14.1" customHeight="1" thickBot="1">
      <c r="A1327" s="484"/>
      <c r="B1327" s="325"/>
      <c r="C1327" s="328"/>
      <c r="D1327" s="328"/>
      <c r="E1327" s="328"/>
      <c r="F1327" s="367"/>
      <c r="G1327" s="1"/>
    </row>
    <row r="1328" spans="1:7" ht="14.1" customHeight="1" thickBot="1">
      <c r="A1328" s="480"/>
      <c r="B1328" s="142" t="s">
        <v>273</v>
      </c>
      <c r="C1328" s="369"/>
      <c r="D1328" s="369"/>
      <c r="E1328" s="377" t="s">
        <v>159</v>
      </c>
      <c r="F1328" s="376">
        <f>SUM(F1317+F1326)</f>
        <v>45445.090000000004</v>
      </c>
      <c r="G1328" s="1"/>
    </row>
    <row r="1329" spans="1:7" ht="15" customHeight="1">
      <c r="A1329" s="626"/>
      <c r="B1329" s="627" t="s">
        <v>274</v>
      </c>
      <c r="C1329" s="628"/>
      <c r="D1329" s="628"/>
      <c r="E1329" s="629" t="s">
        <v>275</v>
      </c>
      <c r="F1329" s="631">
        <f>ROUND(F1328*'Coef. resumen'!$F$23, 2)</f>
        <v>67349.62</v>
      </c>
    </row>
    <row r="1330" spans="1:7" ht="15" customHeight="1" thickBot="1">
      <c r="A1330" s="626"/>
      <c r="B1330" s="627"/>
      <c r="C1330" s="628"/>
      <c r="D1330" s="628"/>
      <c r="E1330" s="630"/>
      <c r="F1330" s="632"/>
    </row>
    <row r="1331" spans="1:7" ht="15">
      <c r="A1331" s="471"/>
      <c r="B1331" s="2"/>
      <c r="C1331" s="329"/>
      <c r="D1331" s="329"/>
      <c r="E1331" s="329"/>
      <c r="F1331" s="329"/>
    </row>
    <row r="1332" spans="1:7" ht="15">
      <c r="A1332" s="471"/>
      <c r="B1332" s="2"/>
      <c r="C1332" s="329"/>
      <c r="D1332" s="329"/>
      <c r="E1332" s="329"/>
      <c r="F1332" s="329"/>
    </row>
    <row r="1333" spans="1:7" ht="15">
      <c r="A1333" s="471"/>
      <c r="B1333" s="194" t="str">
        <f>'Coef. resumen'!$B$30</f>
        <v>Julián Antonelli</v>
      </c>
      <c r="C1333" s="524"/>
      <c r="D1333" s="524"/>
      <c r="E1333" s="194" t="str">
        <f>'Coef. resumen'!$E$30</f>
        <v>Marcelo A. Pasquini</v>
      </c>
      <c r="F1333" s="329"/>
    </row>
    <row r="1334" spans="1:7" ht="15">
      <c r="A1334" s="471"/>
      <c r="B1334" s="194" t="str">
        <f>'Coef. resumen'!$B$31</f>
        <v>Ing. Civil M.P. 2161</v>
      </c>
      <c r="C1334" s="524"/>
      <c r="D1334" s="524"/>
      <c r="E1334" s="194" t="str">
        <f>'Coef. resumen'!$E$31</f>
        <v>Socio Gerente</v>
      </c>
      <c r="F1334" s="329"/>
    </row>
    <row r="1335" spans="1:7" ht="15">
      <c r="A1335" s="471"/>
      <c r="B1335" s="194" t="str">
        <f>'Coef. resumen'!$B$32</f>
        <v>Representante Técnico</v>
      </c>
      <c r="C1335" s="524"/>
      <c r="D1335" s="19"/>
      <c r="E1335" s="194" t="str">
        <f>'Coef. resumen'!$E$32</f>
        <v>Pasquini Construcciones SRL</v>
      </c>
      <c r="F1335" s="329"/>
    </row>
    <row r="1336" spans="1:7" ht="15">
      <c r="A1336" s="471"/>
      <c r="B1336" s="194"/>
      <c r="C1336" s="329"/>
      <c r="D1336" s="19"/>
      <c r="E1336" s="194"/>
      <c r="F1336" s="329"/>
    </row>
    <row r="1337" spans="1:7" ht="14.1" customHeight="1">
      <c r="A1337" s="477" t="s">
        <v>142</v>
      </c>
      <c r="B1337" s="613" t="str">
        <f>Presupuesto!B60</f>
        <v>Preparación del terreno y Movimiento de suelo</v>
      </c>
      <c r="C1337" s="614"/>
      <c r="D1337" s="615"/>
      <c r="E1337" s="367" t="s">
        <v>143</v>
      </c>
      <c r="F1337" s="30" t="str">
        <f>Presupuesto!C60</f>
        <v>Gl</v>
      </c>
      <c r="G1337" s="1"/>
    </row>
    <row r="1338" spans="1:7" ht="14.1" customHeight="1">
      <c r="A1338" s="622" t="str">
        <f>Presupuesto!A60</f>
        <v>1.8.1</v>
      </c>
      <c r="B1338" s="616"/>
      <c r="C1338" s="617"/>
      <c r="D1338" s="618"/>
      <c r="E1338" s="367"/>
      <c r="F1338" s="367"/>
      <c r="G1338" s="1"/>
    </row>
    <row r="1339" spans="1:7" ht="14.1" customHeight="1">
      <c r="A1339" s="622"/>
      <c r="B1339" s="616"/>
      <c r="C1339" s="617"/>
      <c r="D1339" s="618"/>
      <c r="E1339" s="367"/>
      <c r="F1339" s="367"/>
      <c r="G1339" s="1"/>
    </row>
    <row r="1340" spans="1:7" ht="14.1" customHeight="1">
      <c r="A1340" s="623"/>
      <c r="B1340" s="619"/>
      <c r="C1340" s="620"/>
      <c r="D1340" s="621"/>
      <c r="E1340" s="367"/>
      <c r="F1340" s="367"/>
      <c r="G1340" s="1"/>
    </row>
    <row r="1341" spans="1:7" ht="14.1" customHeight="1">
      <c r="A1341" s="478"/>
      <c r="B1341" s="29"/>
      <c r="C1341" s="368"/>
      <c r="D1341" s="368"/>
      <c r="E1341" s="365"/>
      <c r="F1341" s="365"/>
      <c r="G1341" s="1"/>
    </row>
    <row r="1342" spans="1:7" ht="14.1" customHeight="1">
      <c r="A1342" s="624" t="s">
        <v>144</v>
      </c>
      <c r="B1342" s="624"/>
      <c r="C1342" s="624"/>
      <c r="D1342" s="624"/>
      <c r="E1342" s="624"/>
      <c r="F1342" s="624"/>
      <c r="G1342" s="1"/>
    </row>
    <row r="1343" spans="1:7" ht="14.1" customHeight="1">
      <c r="A1343" s="479"/>
      <c r="B1343" s="10"/>
      <c r="C1343" s="335"/>
      <c r="D1343" s="335"/>
      <c r="E1343" s="335"/>
      <c r="F1343" s="335"/>
      <c r="G1343" s="1"/>
    </row>
    <row r="1344" spans="1:7" ht="15.95" customHeight="1">
      <c r="A1344" s="480" t="s">
        <v>145</v>
      </c>
      <c r="B1344" s="11" t="s">
        <v>146</v>
      </c>
      <c r="C1344" s="11" t="s">
        <v>147</v>
      </c>
      <c r="D1344" s="11" t="s">
        <v>148</v>
      </c>
      <c r="E1344" s="12" t="s">
        <v>149</v>
      </c>
      <c r="F1344" s="11" t="s">
        <v>150</v>
      </c>
      <c r="G1344" s="1"/>
    </row>
    <row r="1345" spans="1:7" ht="14.1" customHeight="1">
      <c r="A1345" s="480">
        <v>1</v>
      </c>
      <c r="B1345" s="331" t="s">
        <v>1065</v>
      </c>
      <c r="C1345" s="332" t="s">
        <v>53</v>
      </c>
      <c r="D1345" s="14">
        <f>25*30*0.2</f>
        <v>150</v>
      </c>
      <c r="E1345" s="18">
        <f>'MAT 31-10-2013'!R$7</f>
        <v>39.059027777777771</v>
      </c>
      <c r="F1345" s="375">
        <f>ROUND(D1345*E1345, 2)</f>
        <v>5858.85</v>
      </c>
      <c r="G1345" s="1"/>
    </row>
    <row r="1346" spans="1:7" ht="14.1" customHeight="1">
      <c r="A1346" s="480">
        <v>2</v>
      </c>
      <c r="B1346" s="331" t="s">
        <v>1028</v>
      </c>
      <c r="C1346" s="332" t="s">
        <v>325</v>
      </c>
      <c r="D1346" s="14">
        <v>24</v>
      </c>
      <c r="E1346" s="18">
        <f>Equipos!S$20</f>
        <v>132.98876033057851</v>
      </c>
      <c r="F1346" s="375">
        <f t="shared" ref="F1346:F1356" si="67">ROUND(D1346*E1346, 2)</f>
        <v>3191.73</v>
      </c>
      <c r="G1346" s="1"/>
    </row>
    <row r="1347" spans="1:7" ht="14.1" customHeight="1">
      <c r="A1347" s="480">
        <v>3</v>
      </c>
      <c r="B1347" s="331" t="s">
        <v>326</v>
      </c>
      <c r="C1347" s="332" t="s">
        <v>325</v>
      </c>
      <c r="D1347" s="14">
        <v>24</v>
      </c>
      <c r="E1347" s="18">
        <f>Equipos!S$19</f>
        <v>256.28945454545453</v>
      </c>
      <c r="F1347" s="375">
        <f t="shared" si="67"/>
        <v>6150.95</v>
      </c>
      <c r="G1347" s="1"/>
    </row>
    <row r="1348" spans="1:7" ht="14.1" customHeight="1">
      <c r="A1348" s="480">
        <v>4</v>
      </c>
      <c r="B1348" s="331" t="s">
        <v>327</v>
      </c>
      <c r="C1348" s="332" t="s">
        <v>325</v>
      </c>
      <c r="D1348" s="14">
        <v>8</v>
      </c>
      <c r="E1348" s="18">
        <f>Equipos!S$24</f>
        <v>302.32601652892561</v>
      </c>
      <c r="F1348" s="375">
        <f t="shared" si="67"/>
        <v>2418.61</v>
      </c>
      <c r="G1348" s="1"/>
    </row>
    <row r="1349" spans="1:7" ht="14.1" customHeight="1">
      <c r="A1349" s="480">
        <v>5</v>
      </c>
      <c r="B1349" s="331" t="s">
        <v>1066</v>
      </c>
      <c r="C1349" s="332" t="s">
        <v>325</v>
      </c>
      <c r="D1349" s="14">
        <v>8</v>
      </c>
      <c r="E1349" s="18">
        <f>Equipos!S$27</f>
        <v>87.250943093270379</v>
      </c>
      <c r="F1349" s="375">
        <f t="shared" si="67"/>
        <v>698.01</v>
      </c>
      <c r="G1349" s="1"/>
    </row>
    <row r="1350" spans="1:7" ht="14.1" customHeight="1">
      <c r="A1350" s="480">
        <v>6</v>
      </c>
      <c r="B1350" s="331"/>
      <c r="C1350" s="332"/>
      <c r="D1350" s="14"/>
      <c r="E1350" s="18"/>
      <c r="F1350" s="375">
        <f t="shared" si="67"/>
        <v>0</v>
      </c>
      <c r="G1350" s="1"/>
    </row>
    <row r="1351" spans="1:7" ht="14.1" customHeight="1">
      <c r="A1351" s="480">
        <v>7</v>
      </c>
      <c r="B1351" s="220"/>
      <c r="C1351" s="334"/>
      <c r="D1351" s="14"/>
      <c r="E1351" s="18"/>
      <c r="F1351" s="375">
        <f t="shared" si="67"/>
        <v>0</v>
      </c>
      <c r="G1351" s="1"/>
    </row>
    <row r="1352" spans="1:7" ht="14.1" customHeight="1">
      <c r="A1352" s="480">
        <v>8</v>
      </c>
      <c r="B1352" s="13"/>
      <c r="C1352" s="11"/>
      <c r="D1352" s="14"/>
      <c r="E1352" s="18"/>
      <c r="F1352" s="375">
        <f t="shared" si="67"/>
        <v>0</v>
      </c>
      <c r="G1352" s="1"/>
    </row>
    <row r="1353" spans="1:7" ht="14.1" customHeight="1">
      <c r="A1353" s="480">
        <v>9</v>
      </c>
      <c r="B1353" s="220"/>
      <c r="C1353" s="334"/>
      <c r="D1353" s="14"/>
      <c r="E1353" s="18"/>
      <c r="F1353" s="375">
        <f t="shared" si="67"/>
        <v>0</v>
      </c>
      <c r="G1353" s="1"/>
    </row>
    <row r="1354" spans="1:7" ht="14.1" customHeight="1">
      <c r="A1354" s="480">
        <v>10</v>
      </c>
      <c r="B1354" s="201"/>
      <c r="C1354" s="11"/>
      <c r="D1354" s="14"/>
      <c r="E1354" s="18"/>
      <c r="F1354" s="375">
        <f t="shared" si="67"/>
        <v>0</v>
      </c>
      <c r="G1354" s="1"/>
    </row>
    <row r="1355" spans="1:7" ht="14.1" customHeight="1">
      <c r="A1355" s="480">
        <v>11</v>
      </c>
      <c r="B1355" s="13"/>
      <c r="C1355" s="11"/>
      <c r="D1355" s="14"/>
      <c r="E1355" s="18"/>
      <c r="F1355" s="375">
        <f t="shared" si="67"/>
        <v>0</v>
      </c>
      <c r="G1355" s="1"/>
    </row>
    <row r="1356" spans="1:7" ht="14.1" customHeight="1" thickBot="1">
      <c r="A1356" s="480">
        <v>12</v>
      </c>
      <c r="B1356" s="13"/>
      <c r="C1356" s="11"/>
      <c r="D1356" s="11"/>
      <c r="E1356" s="18"/>
      <c r="F1356" s="375">
        <f t="shared" si="67"/>
        <v>0</v>
      </c>
      <c r="G1356" s="1"/>
    </row>
    <row r="1357" spans="1:7" ht="14.1" customHeight="1" thickBot="1">
      <c r="A1357" s="481"/>
      <c r="B1357" s="5"/>
      <c r="C1357" s="367"/>
      <c r="D1357" s="367"/>
      <c r="E1357" s="367" t="s">
        <v>151</v>
      </c>
      <c r="F1357" s="376">
        <f>SUM(F1345:F1356)</f>
        <v>18318.149999999998</v>
      </c>
      <c r="G1357" s="1"/>
    </row>
    <row r="1358" spans="1:7" ht="14.1" customHeight="1">
      <c r="A1358" s="482"/>
      <c r="B1358" s="333"/>
      <c r="C1358" s="336"/>
      <c r="D1358" s="336"/>
      <c r="E1358" s="336"/>
      <c r="F1358" s="336"/>
      <c r="G1358" s="1"/>
    </row>
    <row r="1359" spans="1:7" ht="14.1" customHeight="1">
      <c r="A1359" s="625" t="s">
        <v>152</v>
      </c>
      <c r="B1359" s="625"/>
      <c r="C1359" s="625"/>
      <c r="D1359" s="625"/>
      <c r="E1359" s="625"/>
      <c r="F1359" s="625"/>
      <c r="G1359" s="1"/>
    </row>
    <row r="1360" spans="1:7" ht="14.1" customHeight="1">
      <c r="A1360" s="482"/>
      <c r="B1360" s="333"/>
      <c r="C1360" s="336"/>
      <c r="D1360" s="336"/>
      <c r="E1360" s="336"/>
      <c r="F1360" s="367"/>
      <c r="G1360" s="1"/>
    </row>
    <row r="1361" spans="1:7" ht="14.1" customHeight="1">
      <c r="A1361" s="480">
        <v>13</v>
      </c>
      <c r="B1361" s="17" t="s">
        <v>153</v>
      </c>
      <c r="C1361" s="11" t="s">
        <v>154</v>
      </c>
      <c r="D1361" s="382">
        <f>D1346+D1347+D1348</f>
        <v>56</v>
      </c>
      <c r="E1361" s="18">
        <f>'Mano de obra'!$J$20</f>
        <v>82.610000000000014</v>
      </c>
      <c r="F1361" s="375">
        <f>ROUND(D1361*E1361, 2)</f>
        <v>4626.16</v>
      </c>
      <c r="G1361" s="1"/>
    </row>
    <row r="1362" spans="1:7" ht="14.1" customHeight="1">
      <c r="A1362" s="480">
        <v>14</v>
      </c>
      <c r="B1362" s="17" t="s">
        <v>155</v>
      </c>
      <c r="C1362" s="11" t="s">
        <v>154</v>
      </c>
      <c r="D1362" s="330">
        <v>0</v>
      </c>
      <c r="E1362" s="18">
        <f>'Mano de obra'!$J$21</f>
        <v>70.38</v>
      </c>
      <c r="F1362" s="375">
        <f t="shared" ref="F1362:F1365" si="68">ROUND(D1362*E1362, 2)</f>
        <v>0</v>
      </c>
      <c r="G1362" s="1"/>
    </row>
    <row r="1363" spans="1:7" ht="14.1" customHeight="1">
      <c r="A1363" s="480">
        <v>15</v>
      </c>
      <c r="B1363" s="17" t="s">
        <v>156</v>
      </c>
      <c r="C1363" s="11" t="s">
        <v>154</v>
      </c>
      <c r="D1363" s="330">
        <v>0</v>
      </c>
      <c r="E1363" s="18">
        <f>'Mano de obra'!$J$22</f>
        <v>64.78</v>
      </c>
      <c r="F1363" s="375">
        <f t="shared" si="68"/>
        <v>0</v>
      </c>
      <c r="G1363" s="1"/>
    </row>
    <row r="1364" spans="1:7" ht="14.1" customHeight="1">
      <c r="A1364" s="480">
        <v>16</v>
      </c>
      <c r="B1364" s="17" t="s">
        <v>157</v>
      </c>
      <c r="C1364" s="11" t="s">
        <v>154</v>
      </c>
      <c r="D1364" s="382">
        <f>D1361</f>
        <v>56</v>
      </c>
      <c r="E1364" s="18">
        <f>'Mano de obra'!$J$23</f>
        <v>59.800000000000004</v>
      </c>
      <c r="F1364" s="375">
        <f t="shared" si="68"/>
        <v>3348.8</v>
      </c>
      <c r="G1364" s="1"/>
    </row>
    <row r="1365" spans="1:7" ht="14.1" customHeight="1" thickBot="1">
      <c r="A1365" s="480">
        <v>17</v>
      </c>
      <c r="B1365" s="13"/>
      <c r="C1365" s="11"/>
      <c r="D1365" s="11"/>
      <c r="E1365" s="18"/>
      <c r="F1365" s="375">
        <f t="shared" si="68"/>
        <v>0</v>
      </c>
      <c r="G1365" s="1"/>
    </row>
    <row r="1366" spans="1:7" ht="14.1" customHeight="1" thickBot="1">
      <c r="A1366" s="483"/>
      <c r="B1366" s="333"/>
      <c r="C1366" s="336"/>
      <c r="D1366" s="336"/>
      <c r="E1366" s="367" t="s">
        <v>158</v>
      </c>
      <c r="F1366" s="376">
        <f>SUM(F1361:F1365)</f>
        <v>7974.96</v>
      </c>
      <c r="G1366" s="1"/>
    </row>
    <row r="1367" spans="1:7" ht="14.1" customHeight="1" thickBot="1">
      <c r="A1367" s="484"/>
      <c r="B1367" s="333"/>
      <c r="C1367" s="336"/>
      <c r="D1367" s="336"/>
      <c r="E1367" s="336"/>
      <c r="F1367" s="367"/>
      <c r="G1367" s="1"/>
    </row>
    <row r="1368" spans="1:7" ht="14.1" customHeight="1" thickBot="1">
      <c r="A1368" s="480"/>
      <c r="B1368" s="142" t="s">
        <v>273</v>
      </c>
      <c r="C1368" s="369"/>
      <c r="D1368" s="369"/>
      <c r="E1368" s="377" t="s">
        <v>159</v>
      </c>
      <c r="F1368" s="376">
        <f>SUM(F1357+F1366)</f>
        <v>26293.109999999997</v>
      </c>
      <c r="G1368" s="1"/>
    </row>
    <row r="1369" spans="1:7" ht="15" customHeight="1">
      <c r="A1369" s="626"/>
      <c r="B1369" s="627" t="s">
        <v>274</v>
      </c>
      <c r="C1369" s="628"/>
      <c r="D1369" s="628"/>
      <c r="E1369" s="629" t="s">
        <v>275</v>
      </c>
      <c r="F1369" s="631">
        <f>ROUND(F1368*'Coef. resumen'!$F$23, 2)</f>
        <v>38966.39</v>
      </c>
    </row>
    <row r="1370" spans="1:7" ht="15" customHeight="1" thickBot="1">
      <c r="A1370" s="626"/>
      <c r="B1370" s="627"/>
      <c r="C1370" s="628"/>
      <c r="D1370" s="628"/>
      <c r="E1370" s="630"/>
      <c r="F1370" s="632"/>
    </row>
    <row r="1371" spans="1:7" ht="15">
      <c r="A1371" s="471"/>
      <c r="B1371" s="2"/>
      <c r="C1371" s="337"/>
      <c r="D1371" s="337"/>
      <c r="E1371" s="337"/>
      <c r="F1371" s="337"/>
    </row>
    <row r="1372" spans="1:7" ht="15">
      <c r="A1372" s="471"/>
      <c r="B1372" s="2"/>
      <c r="C1372" s="337"/>
      <c r="D1372" s="337"/>
      <c r="E1372" s="337"/>
      <c r="F1372" s="337"/>
    </row>
    <row r="1373" spans="1:7" ht="15">
      <c r="A1373" s="471"/>
      <c r="B1373" s="194" t="str">
        <f>'Coef. resumen'!$B$30</f>
        <v>Julián Antonelli</v>
      </c>
      <c r="C1373" s="524"/>
      <c r="D1373" s="524"/>
      <c r="E1373" s="194" t="str">
        <f>'Coef. resumen'!$E$30</f>
        <v>Marcelo A. Pasquini</v>
      </c>
      <c r="F1373" s="337"/>
    </row>
    <row r="1374" spans="1:7" ht="15">
      <c r="A1374" s="471"/>
      <c r="B1374" s="194" t="str">
        <f>'Coef. resumen'!$B$31</f>
        <v>Ing. Civil M.P. 2161</v>
      </c>
      <c r="C1374" s="524"/>
      <c r="D1374" s="524"/>
      <c r="E1374" s="194" t="str">
        <f>'Coef. resumen'!$E$31</f>
        <v>Socio Gerente</v>
      </c>
      <c r="F1374" s="337"/>
    </row>
    <row r="1375" spans="1:7" ht="15">
      <c r="A1375" s="471"/>
      <c r="B1375" s="194" t="str">
        <f>'Coef. resumen'!$B$32</f>
        <v>Representante Técnico</v>
      </c>
      <c r="C1375" s="524"/>
      <c r="D1375" s="19"/>
      <c r="E1375" s="194" t="str">
        <f>'Coef. resumen'!$E$32</f>
        <v>Pasquini Construcciones SRL</v>
      </c>
      <c r="F1375" s="337"/>
    </row>
    <row r="1376" spans="1:7" ht="15">
      <c r="A1376" s="471"/>
      <c r="B1376" s="194"/>
      <c r="C1376" s="337"/>
      <c r="D1376" s="19"/>
      <c r="E1376" s="194"/>
      <c r="F1376" s="337"/>
    </row>
    <row r="1377" spans="1:7" ht="14.1" customHeight="1">
      <c r="A1377" s="477" t="s">
        <v>142</v>
      </c>
      <c r="B1377" s="613" t="str">
        <f>Presupuesto!B61</f>
        <v>Drenes bajo cisterna</v>
      </c>
      <c r="C1377" s="614"/>
      <c r="D1377" s="615"/>
      <c r="E1377" s="367" t="s">
        <v>143</v>
      </c>
      <c r="F1377" s="30" t="str">
        <f>Presupuesto!C61</f>
        <v>ml</v>
      </c>
      <c r="G1377" s="1"/>
    </row>
    <row r="1378" spans="1:7" ht="14.1" customHeight="1">
      <c r="A1378" s="622" t="str">
        <f>Presupuesto!A61</f>
        <v>1.8.2</v>
      </c>
      <c r="B1378" s="616"/>
      <c r="C1378" s="617"/>
      <c r="D1378" s="618"/>
      <c r="E1378" s="367"/>
      <c r="F1378" s="367"/>
      <c r="G1378" s="1"/>
    </row>
    <row r="1379" spans="1:7" ht="14.1" customHeight="1">
      <c r="A1379" s="622"/>
      <c r="B1379" s="616"/>
      <c r="C1379" s="617"/>
      <c r="D1379" s="618"/>
      <c r="E1379" s="367"/>
      <c r="F1379" s="367"/>
      <c r="G1379" s="1"/>
    </row>
    <row r="1380" spans="1:7" ht="14.1" customHeight="1">
      <c r="A1380" s="623"/>
      <c r="B1380" s="619"/>
      <c r="C1380" s="620"/>
      <c r="D1380" s="621"/>
      <c r="E1380" s="367"/>
      <c r="F1380" s="367"/>
      <c r="G1380" s="1"/>
    </row>
    <row r="1381" spans="1:7" ht="14.1" customHeight="1">
      <c r="A1381" s="478"/>
      <c r="B1381" s="29"/>
      <c r="C1381" s="368"/>
      <c r="D1381" s="368"/>
      <c r="E1381" s="365"/>
      <c r="F1381" s="365"/>
      <c r="G1381" s="1"/>
    </row>
    <row r="1382" spans="1:7" ht="14.1" customHeight="1">
      <c r="A1382" s="624" t="s">
        <v>144</v>
      </c>
      <c r="B1382" s="624"/>
      <c r="C1382" s="624"/>
      <c r="D1382" s="624"/>
      <c r="E1382" s="624"/>
      <c r="F1382" s="624"/>
      <c r="G1382" s="1"/>
    </row>
    <row r="1383" spans="1:7" ht="14.1" customHeight="1">
      <c r="A1383" s="479"/>
      <c r="B1383" s="10"/>
      <c r="C1383" s="335"/>
      <c r="D1383" s="335"/>
      <c r="E1383" s="335"/>
      <c r="F1383" s="335"/>
      <c r="G1383" s="1"/>
    </row>
    <row r="1384" spans="1:7" ht="15.95" customHeight="1">
      <c r="A1384" s="480" t="s">
        <v>145</v>
      </c>
      <c r="B1384" s="11" t="s">
        <v>146</v>
      </c>
      <c r="C1384" s="11" t="s">
        <v>147</v>
      </c>
      <c r="D1384" s="11" t="s">
        <v>148</v>
      </c>
      <c r="E1384" s="12" t="s">
        <v>149</v>
      </c>
      <c r="F1384" s="11" t="s">
        <v>150</v>
      </c>
      <c r="G1384" s="1"/>
    </row>
    <row r="1385" spans="1:7" ht="14.1" customHeight="1">
      <c r="A1385" s="480">
        <v>1</v>
      </c>
      <c r="B1385" s="331" t="s">
        <v>1067</v>
      </c>
      <c r="C1385" s="332" t="s">
        <v>4</v>
      </c>
      <c r="D1385" s="14">
        <v>1.05</v>
      </c>
      <c r="E1385" s="18">
        <f>'MAT 31-10-2013'!R$202/6</f>
        <v>29.014114583333335</v>
      </c>
      <c r="F1385" s="375">
        <f>ROUND(D1385*E1385, 2)</f>
        <v>30.46</v>
      </c>
      <c r="G1385" s="1"/>
    </row>
    <row r="1386" spans="1:7" ht="14.1" customHeight="1">
      <c r="A1386" s="480">
        <v>2</v>
      </c>
      <c r="B1386" s="331" t="s">
        <v>1068</v>
      </c>
      <c r="C1386" s="332" t="s">
        <v>1026</v>
      </c>
      <c r="D1386" s="14">
        <v>1</v>
      </c>
      <c r="E1386" s="18">
        <f>0.25*F1385</f>
        <v>7.6150000000000002</v>
      </c>
      <c r="F1386" s="375">
        <f t="shared" ref="F1386:F1396" si="69">ROUND(D1386*E1386, 2)</f>
        <v>7.62</v>
      </c>
      <c r="G1386" s="1"/>
    </row>
    <row r="1387" spans="1:7" ht="14.1" customHeight="1">
      <c r="A1387" s="480">
        <v>3</v>
      </c>
      <c r="B1387" s="331"/>
      <c r="C1387" s="332"/>
      <c r="D1387" s="14"/>
      <c r="E1387" s="18"/>
      <c r="F1387" s="375">
        <f t="shared" si="69"/>
        <v>0</v>
      </c>
      <c r="G1387" s="1"/>
    </row>
    <row r="1388" spans="1:7" ht="14.1" customHeight="1">
      <c r="A1388" s="480">
        <v>4</v>
      </c>
      <c r="B1388" s="331"/>
      <c r="C1388" s="332"/>
      <c r="D1388" s="14"/>
      <c r="E1388" s="18"/>
      <c r="F1388" s="375">
        <f t="shared" si="69"/>
        <v>0</v>
      </c>
      <c r="G1388" s="1"/>
    </row>
    <row r="1389" spans="1:7" ht="14.1" customHeight="1">
      <c r="A1389" s="480">
        <v>5</v>
      </c>
      <c r="B1389" s="331"/>
      <c r="C1389" s="332"/>
      <c r="D1389" s="14"/>
      <c r="E1389" s="18"/>
      <c r="F1389" s="375">
        <f t="shared" si="69"/>
        <v>0</v>
      </c>
      <c r="G1389" s="1"/>
    </row>
    <row r="1390" spans="1:7" ht="14.1" customHeight="1">
      <c r="A1390" s="480">
        <v>6</v>
      </c>
      <c r="B1390" s="331"/>
      <c r="C1390" s="332"/>
      <c r="D1390" s="14"/>
      <c r="E1390" s="18"/>
      <c r="F1390" s="375">
        <f t="shared" si="69"/>
        <v>0</v>
      </c>
      <c r="G1390" s="1"/>
    </row>
    <row r="1391" spans="1:7" ht="14.1" customHeight="1">
      <c r="A1391" s="480">
        <v>7</v>
      </c>
      <c r="B1391" s="220"/>
      <c r="C1391" s="334"/>
      <c r="D1391" s="14"/>
      <c r="E1391" s="18"/>
      <c r="F1391" s="375">
        <f t="shared" si="69"/>
        <v>0</v>
      </c>
      <c r="G1391" s="1"/>
    </row>
    <row r="1392" spans="1:7" ht="14.1" customHeight="1">
      <c r="A1392" s="480">
        <v>8</v>
      </c>
      <c r="B1392" s="13"/>
      <c r="C1392" s="11"/>
      <c r="D1392" s="14"/>
      <c r="E1392" s="18"/>
      <c r="F1392" s="375">
        <f t="shared" si="69"/>
        <v>0</v>
      </c>
      <c r="G1392" s="1"/>
    </row>
    <row r="1393" spans="1:7" ht="14.1" customHeight="1">
      <c r="A1393" s="480">
        <v>9</v>
      </c>
      <c r="B1393" s="220"/>
      <c r="C1393" s="334"/>
      <c r="D1393" s="14"/>
      <c r="E1393" s="18"/>
      <c r="F1393" s="375">
        <f t="shared" si="69"/>
        <v>0</v>
      </c>
      <c r="G1393" s="1"/>
    </row>
    <row r="1394" spans="1:7" ht="14.1" customHeight="1">
      <c r="A1394" s="480">
        <v>10</v>
      </c>
      <c r="B1394" s="201"/>
      <c r="C1394" s="11"/>
      <c r="D1394" s="14"/>
      <c r="E1394" s="18"/>
      <c r="F1394" s="375">
        <f t="shared" si="69"/>
        <v>0</v>
      </c>
      <c r="G1394" s="1"/>
    </row>
    <row r="1395" spans="1:7" ht="14.1" customHeight="1">
      <c r="A1395" s="480">
        <v>11</v>
      </c>
      <c r="B1395" s="13"/>
      <c r="C1395" s="11"/>
      <c r="D1395" s="14"/>
      <c r="E1395" s="18"/>
      <c r="F1395" s="375">
        <f t="shared" si="69"/>
        <v>0</v>
      </c>
      <c r="G1395" s="1"/>
    </row>
    <row r="1396" spans="1:7" ht="14.1" customHeight="1" thickBot="1">
      <c r="A1396" s="480">
        <v>12</v>
      </c>
      <c r="B1396" s="13"/>
      <c r="C1396" s="11"/>
      <c r="D1396" s="11"/>
      <c r="E1396" s="18"/>
      <c r="F1396" s="375">
        <f t="shared" si="69"/>
        <v>0</v>
      </c>
      <c r="G1396" s="1"/>
    </row>
    <row r="1397" spans="1:7" ht="14.1" customHeight="1" thickBot="1">
      <c r="A1397" s="481"/>
      <c r="B1397" s="5"/>
      <c r="C1397" s="367"/>
      <c r="D1397" s="367"/>
      <c r="E1397" s="367" t="s">
        <v>151</v>
      </c>
      <c r="F1397" s="376">
        <f>SUM(F1385:F1396)</f>
        <v>38.08</v>
      </c>
      <c r="G1397" s="1"/>
    </row>
    <row r="1398" spans="1:7" ht="14.1" customHeight="1">
      <c r="A1398" s="482"/>
      <c r="B1398" s="333"/>
      <c r="C1398" s="336"/>
      <c r="D1398" s="336"/>
      <c r="E1398" s="336"/>
      <c r="F1398" s="336"/>
      <c r="G1398" s="1"/>
    </row>
    <row r="1399" spans="1:7" ht="14.1" customHeight="1">
      <c r="A1399" s="625" t="s">
        <v>152</v>
      </c>
      <c r="B1399" s="625"/>
      <c r="C1399" s="625"/>
      <c r="D1399" s="625"/>
      <c r="E1399" s="625"/>
      <c r="F1399" s="625"/>
      <c r="G1399" s="1"/>
    </row>
    <row r="1400" spans="1:7" ht="14.1" customHeight="1">
      <c r="A1400" s="482"/>
      <c r="B1400" s="333"/>
      <c r="C1400" s="336"/>
      <c r="D1400" s="336"/>
      <c r="E1400" s="336"/>
      <c r="F1400" s="367"/>
      <c r="G1400" s="1"/>
    </row>
    <row r="1401" spans="1:7" ht="14.1" customHeight="1">
      <c r="A1401" s="480">
        <v>13</v>
      </c>
      <c r="B1401" s="17" t="s">
        <v>153</v>
      </c>
      <c r="C1401" s="11" t="s">
        <v>154</v>
      </c>
      <c r="D1401" s="382">
        <v>0.4</v>
      </c>
      <c r="E1401" s="18">
        <f>'Mano de obra'!$J$20</f>
        <v>82.610000000000014</v>
      </c>
      <c r="F1401" s="375">
        <f>ROUND(D1401*E1401, 2)</f>
        <v>33.04</v>
      </c>
      <c r="G1401" s="1"/>
    </row>
    <row r="1402" spans="1:7" ht="14.1" customHeight="1">
      <c r="A1402" s="480">
        <v>14</v>
      </c>
      <c r="B1402" s="17" t="s">
        <v>155</v>
      </c>
      <c r="C1402" s="11" t="s">
        <v>154</v>
      </c>
      <c r="D1402" s="330">
        <v>0</v>
      </c>
      <c r="E1402" s="18">
        <f>'Mano de obra'!$J$21</f>
        <v>70.38</v>
      </c>
      <c r="F1402" s="375">
        <f t="shared" ref="F1402:F1405" si="70">ROUND(D1402*E1402, 2)</f>
        <v>0</v>
      </c>
      <c r="G1402" s="1"/>
    </row>
    <row r="1403" spans="1:7" ht="14.1" customHeight="1">
      <c r="A1403" s="480">
        <v>15</v>
      </c>
      <c r="B1403" s="17" t="s">
        <v>156</v>
      </c>
      <c r="C1403" s="11" t="s">
        <v>154</v>
      </c>
      <c r="D1403" s="330">
        <v>0</v>
      </c>
      <c r="E1403" s="18">
        <f>'Mano de obra'!$J$22</f>
        <v>64.78</v>
      </c>
      <c r="F1403" s="375">
        <f t="shared" si="70"/>
        <v>0</v>
      </c>
      <c r="G1403" s="1"/>
    </row>
    <row r="1404" spans="1:7" ht="14.1" customHeight="1">
      <c r="A1404" s="480">
        <v>16</v>
      </c>
      <c r="B1404" s="17" t="s">
        <v>157</v>
      </c>
      <c r="C1404" s="11" t="s">
        <v>154</v>
      </c>
      <c r="D1404" s="382">
        <v>0.2</v>
      </c>
      <c r="E1404" s="18">
        <f>'Mano de obra'!$J$23</f>
        <v>59.800000000000004</v>
      </c>
      <c r="F1404" s="375">
        <f t="shared" si="70"/>
        <v>11.96</v>
      </c>
      <c r="G1404" s="1"/>
    </row>
    <row r="1405" spans="1:7" ht="14.1" customHeight="1" thickBot="1">
      <c r="A1405" s="480">
        <v>17</v>
      </c>
      <c r="B1405" s="13"/>
      <c r="C1405" s="11"/>
      <c r="D1405" s="11"/>
      <c r="E1405" s="18"/>
      <c r="F1405" s="375">
        <f t="shared" si="70"/>
        <v>0</v>
      </c>
      <c r="G1405" s="1"/>
    </row>
    <row r="1406" spans="1:7" ht="14.1" customHeight="1" thickBot="1">
      <c r="A1406" s="483"/>
      <c r="B1406" s="333"/>
      <c r="C1406" s="336"/>
      <c r="D1406" s="336"/>
      <c r="E1406" s="367" t="s">
        <v>158</v>
      </c>
      <c r="F1406" s="376">
        <f>SUM(F1401:F1405)</f>
        <v>45</v>
      </c>
      <c r="G1406" s="1"/>
    </row>
    <row r="1407" spans="1:7" ht="14.1" customHeight="1" thickBot="1">
      <c r="A1407" s="484"/>
      <c r="B1407" s="333"/>
      <c r="C1407" s="336"/>
      <c r="D1407" s="336"/>
      <c r="E1407" s="336"/>
      <c r="F1407" s="367"/>
      <c r="G1407" s="1"/>
    </row>
    <row r="1408" spans="1:7" ht="14.1" customHeight="1" thickBot="1">
      <c r="A1408" s="480"/>
      <c r="B1408" s="142" t="s">
        <v>273</v>
      </c>
      <c r="C1408" s="369"/>
      <c r="D1408" s="369"/>
      <c r="E1408" s="377" t="s">
        <v>159</v>
      </c>
      <c r="F1408" s="376">
        <f>SUM(F1397+F1406)</f>
        <v>83.08</v>
      </c>
      <c r="G1408" s="1"/>
    </row>
    <row r="1409" spans="1:7" ht="15" customHeight="1">
      <c r="A1409" s="626"/>
      <c r="B1409" s="627" t="s">
        <v>274</v>
      </c>
      <c r="C1409" s="628"/>
      <c r="D1409" s="628"/>
      <c r="E1409" s="629" t="s">
        <v>275</v>
      </c>
      <c r="F1409" s="631">
        <f>ROUND(F1408*'Coef. resumen'!$F$23, 2)</f>
        <v>123.12</v>
      </c>
    </row>
    <row r="1410" spans="1:7" ht="15" customHeight="1" thickBot="1">
      <c r="A1410" s="626"/>
      <c r="B1410" s="627"/>
      <c r="C1410" s="628"/>
      <c r="D1410" s="628"/>
      <c r="E1410" s="630"/>
      <c r="F1410" s="632"/>
    </row>
    <row r="1411" spans="1:7" ht="15">
      <c r="A1411" s="471"/>
      <c r="B1411" s="2"/>
      <c r="C1411" s="337"/>
      <c r="D1411" s="337"/>
      <c r="E1411" s="337"/>
      <c r="F1411" s="337"/>
    </row>
    <row r="1412" spans="1:7" ht="15">
      <c r="A1412" s="471"/>
      <c r="B1412" s="2"/>
      <c r="C1412" s="337"/>
      <c r="D1412" s="337"/>
      <c r="E1412" s="337"/>
      <c r="F1412" s="337"/>
    </row>
    <row r="1413" spans="1:7" ht="15">
      <c r="A1413" s="471"/>
      <c r="B1413" s="194" t="str">
        <f>'Coef. resumen'!$B$30</f>
        <v>Julián Antonelli</v>
      </c>
      <c r="C1413" s="524"/>
      <c r="D1413" s="524"/>
      <c r="E1413" s="194" t="str">
        <f>'Coef. resumen'!$E$30</f>
        <v>Marcelo A. Pasquini</v>
      </c>
      <c r="F1413" s="337"/>
    </row>
    <row r="1414" spans="1:7" ht="15">
      <c r="A1414" s="471"/>
      <c r="B1414" s="194" t="str">
        <f>'Coef. resumen'!$B$31</f>
        <v>Ing. Civil M.P. 2161</v>
      </c>
      <c r="C1414" s="524"/>
      <c r="D1414" s="524"/>
      <c r="E1414" s="194" t="str">
        <f>'Coef. resumen'!$E$31</f>
        <v>Socio Gerente</v>
      </c>
      <c r="F1414" s="337"/>
    </row>
    <row r="1415" spans="1:7" ht="15">
      <c r="A1415" s="471"/>
      <c r="B1415" s="194" t="str">
        <f>'Coef. resumen'!$B$32</f>
        <v>Representante Técnico</v>
      </c>
      <c r="C1415" s="524"/>
      <c r="D1415" s="19"/>
      <c r="E1415" s="194" t="str">
        <f>'Coef. resumen'!$E$32</f>
        <v>Pasquini Construcciones SRL</v>
      </c>
      <c r="F1415" s="337"/>
    </row>
    <row r="1416" spans="1:7" ht="15">
      <c r="A1416" s="471"/>
      <c r="B1416" s="194"/>
      <c r="C1416" s="337"/>
      <c r="D1416" s="19"/>
      <c r="E1416" s="194"/>
      <c r="F1416" s="337"/>
    </row>
    <row r="1417" spans="1:7" ht="14.1" customHeight="1">
      <c r="A1417" s="477" t="s">
        <v>142</v>
      </c>
      <c r="B1417" s="613" t="str">
        <f>Presupuesto!B62</f>
        <v>Hormigón de limpieza en asiento de fundaciones</v>
      </c>
      <c r="C1417" s="614"/>
      <c r="D1417" s="615"/>
      <c r="E1417" s="367" t="s">
        <v>143</v>
      </c>
      <c r="F1417" s="30" t="str">
        <f>Presupuesto!C62</f>
        <v>m³</v>
      </c>
      <c r="G1417" s="1"/>
    </row>
    <row r="1418" spans="1:7" ht="14.1" customHeight="1">
      <c r="A1418" s="622" t="str">
        <f>Presupuesto!A62</f>
        <v>1.8.3</v>
      </c>
      <c r="B1418" s="616"/>
      <c r="C1418" s="617"/>
      <c r="D1418" s="618"/>
      <c r="E1418" s="367"/>
      <c r="F1418" s="367"/>
      <c r="G1418" s="1"/>
    </row>
    <row r="1419" spans="1:7" ht="14.1" customHeight="1">
      <c r="A1419" s="622"/>
      <c r="B1419" s="616"/>
      <c r="C1419" s="617"/>
      <c r="D1419" s="618"/>
      <c r="E1419" s="367"/>
      <c r="F1419" s="367"/>
      <c r="G1419" s="1"/>
    </row>
    <row r="1420" spans="1:7" ht="14.1" customHeight="1">
      <c r="A1420" s="623"/>
      <c r="B1420" s="619"/>
      <c r="C1420" s="620"/>
      <c r="D1420" s="621"/>
      <c r="E1420" s="367"/>
      <c r="F1420" s="367"/>
      <c r="G1420" s="1"/>
    </row>
    <row r="1421" spans="1:7" ht="14.1" customHeight="1">
      <c r="A1421" s="478"/>
      <c r="B1421" s="29"/>
      <c r="C1421" s="368"/>
      <c r="D1421" s="368"/>
      <c r="E1421" s="365"/>
      <c r="F1421" s="365"/>
      <c r="G1421" s="1"/>
    </row>
    <row r="1422" spans="1:7" ht="14.1" customHeight="1">
      <c r="A1422" s="624" t="s">
        <v>144</v>
      </c>
      <c r="B1422" s="624"/>
      <c r="C1422" s="624"/>
      <c r="D1422" s="624"/>
      <c r="E1422" s="624"/>
      <c r="F1422" s="624"/>
      <c r="G1422" s="1"/>
    </row>
    <row r="1423" spans="1:7" ht="14.1" customHeight="1">
      <c r="A1423" s="479"/>
      <c r="B1423" s="10"/>
      <c r="C1423" s="335"/>
      <c r="D1423" s="335"/>
      <c r="E1423" s="335"/>
      <c r="F1423" s="335"/>
      <c r="G1423" s="1"/>
    </row>
    <row r="1424" spans="1:7" ht="15.95" customHeight="1">
      <c r="A1424" s="480" t="s">
        <v>145</v>
      </c>
      <c r="B1424" s="11" t="s">
        <v>146</v>
      </c>
      <c r="C1424" s="11" t="s">
        <v>147</v>
      </c>
      <c r="D1424" s="11" t="s">
        <v>148</v>
      </c>
      <c r="E1424" s="12" t="s">
        <v>149</v>
      </c>
      <c r="F1424" s="11" t="s">
        <v>150</v>
      </c>
      <c r="G1424" s="1"/>
    </row>
    <row r="1425" spans="1:7" ht="14.1" customHeight="1">
      <c r="A1425" s="480">
        <v>1</v>
      </c>
      <c r="B1425" s="384" t="s">
        <v>1002</v>
      </c>
      <c r="C1425" s="305" t="s">
        <v>362</v>
      </c>
      <c r="D1425" s="385">
        <v>150</v>
      </c>
      <c r="E1425" s="18">
        <f>'MAT 31-10-2013'!R$14</f>
        <v>1.013611111111111</v>
      </c>
      <c r="F1425" s="375">
        <f>ROUND(D1425*E1425, 2)</f>
        <v>152.04</v>
      </c>
      <c r="G1425" s="1"/>
    </row>
    <row r="1426" spans="1:7" ht="14.1" customHeight="1">
      <c r="A1426" s="480">
        <v>2</v>
      </c>
      <c r="B1426" s="384" t="s">
        <v>1070</v>
      </c>
      <c r="C1426" s="305" t="s">
        <v>53</v>
      </c>
      <c r="D1426" s="385">
        <v>0.65</v>
      </c>
      <c r="E1426" s="18">
        <f>'MAT 31-10-2013'!R$5</f>
        <v>39.059027777777771</v>
      </c>
      <c r="F1426" s="375">
        <f t="shared" ref="F1426:F1436" si="71">ROUND(D1426*E1426, 2)</f>
        <v>25.39</v>
      </c>
      <c r="G1426" s="1"/>
    </row>
    <row r="1427" spans="1:7" ht="14.1" customHeight="1">
      <c r="A1427" s="480">
        <v>3</v>
      </c>
      <c r="B1427" s="384" t="s">
        <v>1071</v>
      </c>
      <c r="C1427" s="305" t="s">
        <v>53</v>
      </c>
      <c r="D1427" s="385">
        <v>0.65</v>
      </c>
      <c r="E1427" s="18">
        <f>'MAT 31-10-2013'!R$7</f>
        <v>39.059027777777771</v>
      </c>
      <c r="F1427" s="375">
        <f t="shared" si="71"/>
        <v>25.39</v>
      </c>
      <c r="G1427" s="1"/>
    </row>
    <row r="1428" spans="1:7" ht="14.1" customHeight="1">
      <c r="A1428" s="480">
        <v>4</v>
      </c>
      <c r="B1428" s="384" t="s">
        <v>1003</v>
      </c>
      <c r="C1428" s="305" t="s">
        <v>362</v>
      </c>
      <c r="D1428" s="385">
        <v>0</v>
      </c>
      <c r="E1428" s="18">
        <f>'MAT 31-10-2013'!R$32</f>
        <v>11.376875</v>
      </c>
      <c r="F1428" s="375">
        <f t="shared" si="71"/>
        <v>0</v>
      </c>
      <c r="G1428" s="1"/>
    </row>
    <row r="1429" spans="1:7" ht="14.1" customHeight="1">
      <c r="A1429" s="480">
        <v>5</v>
      </c>
      <c r="B1429" s="384" t="s">
        <v>1072</v>
      </c>
      <c r="C1429" s="305" t="s">
        <v>362</v>
      </c>
      <c r="D1429" s="385">
        <v>4</v>
      </c>
      <c r="E1429" s="18">
        <f>'MAT 31-10-2013'!R$35</f>
        <v>18.193777777777775</v>
      </c>
      <c r="F1429" s="375">
        <f t="shared" si="71"/>
        <v>72.78</v>
      </c>
      <c r="G1429" s="1"/>
    </row>
    <row r="1430" spans="1:7" ht="14.1" customHeight="1">
      <c r="A1430" s="480">
        <v>6</v>
      </c>
      <c r="B1430" s="384" t="s">
        <v>1074</v>
      </c>
      <c r="C1430" s="305" t="s">
        <v>329</v>
      </c>
      <c r="D1430" s="385">
        <v>15</v>
      </c>
      <c r="E1430" s="18">
        <f>'MAT 31-10-2013'!R$80</f>
        <v>6.75</v>
      </c>
      <c r="F1430" s="375">
        <f t="shared" si="71"/>
        <v>101.25</v>
      </c>
      <c r="G1430" s="1"/>
    </row>
    <row r="1431" spans="1:7" ht="14.1" customHeight="1">
      <c r="A1431" s="480">
        <v>7</v>
      </c>
      <c r="B1431" s="384" t="s">
        <v>1073</v>
      </c>
      <c r="C1431" s="305" t="s">
        <v>362</v>
      </c>
      <c r="D1431" s="385">
        <v>4</v>
      </c>
      <c r="E1431" s="18">
        <f>'MAT 31-10-2013'!R$37</f>
        <v>16.809374999999999</v>
      </c>
      <c r="F1431" s="375">
        <f t="shared" si="71"/>
        <v>67.239999999999995</v>
      </c>
      <c r="G1431" s="1"/>
    </row>
    <row r="1432" spans="1:7" ht="14.1" customHeight="1">
      <c r="A1432" s="480">
        <v>8</v>
      </c>
      <c r="B1432" s="13"/>
      <c r="C1432" s="11"/>
      <c r="D1432" s="14"/>
      <c r="E1432" s="18"/>
      <c r="F1432" s="375">
        <f t="shared" si="71"/>
        <v>0</v>
      </c>
      <c r="G1432" s="1"/>
    </row>
    <row r="1433" spans="1:7" ht="14.1" customHeight="1">
      <c r="A1433" s="480">
        <v>9</v>
      </c>
      <c r="B1433" s="220"/>
      <c r="C1433" s="334"/>
      <c r="D1433" s="14"/>
      <c r="E1433" s="18"/>
      <c r="F1433" s="375">
        <f t="shared" si="71"/>
        <v>0</v>
      </c>
      <c r="G1433" s="1"/>
    </row>
    <row r="1434" spans="1:7" ht="14.1" customHeight="1">
      <c r="A1434" s="480">
        <v>10</v>
      </c>
      <c r="B1434" s="201"/>
      <c r="C1434" s="11"/>
      <c r="D1434" s="14"/>
      <c r="E1434" s="18"/>
      <c r="F1434" s="375">
        <f t="shared" si="71"/>
        <v>0</v>
      </c>
      <c r="G1434" s="1"/>
    </row>
    <row r="1435" spans="1:7" ht="14.1" customHeight="1">
      <c r="A1435" s="480">
        <v>11</v>
      </c>
      <c r="B1435" s="13"/>
      <c r="C1435" s="11"/>
      <c r="D1435" s="14"/>
      <c r="E1435" s="18"/>
      <c r="F1435" s="375">
        <f t="shared" si="71"/>
        <v>0</v>
      </c>
      <c r="G1435" s="1"/>
    </row>
    <row r="1436" spans="1:7" ht="14.1" customHeight="1" thickBot="1">
      <c r="A1436" s="480">
        <v>12</v>
      </c>
      <c r="B1436" s="13"/>
      <c r="C1436" s="11"/>
      <c r="D1436" s="11"/>
      <c r="E1436" s="18"/>
      <c r="F1436" s="375">
        <f t="shared" si="71"/>
        <v>0</v>
      </c>
      <c r="G1436" s="1"/>
    </row>
    <row r="1437" spans="1:7" ht="14.1" customHeight="1" thickBot="1">
      <c r="A1437" s="481"/>
      <c r="B1437" s="5"/>
      <c r="C1437" s="367"/>
      <c r="D1437" s="367"/>
      <c r="E1437" s="367" t="s">
        <v>151</v>
      </c>
      <c r="F1437" s="376">
        <f>SUM(F1425:F1436)</f>
        <v>444.09000000000003</v>
      </c>
      <c r="G1437" s="1"/>
    </row>
    <row r="1438" spans="1:7" ht="14.1" customHeight="1">
      <c r="A1438" s="482"/>
      <c r="B1438" s="333"/>
      <c r="C1438" s="336"/>
      <c r="D1438" s="336"/>
      <c r="E1438" s="336"/>
      <c r="F1438" s="336"/>
      <c r="G1438" s="1"/>
    </row>
    <row r="1439" spans="1:7" ht="14.1" customHeight="1">
      <c r="A1439" s="625" t="s">
        <v>152</v>
      </c>
      <c r="B1439" s="625"/>
      <c r="C1439" s="625"/>
      <c r="D1439" s="625"/>
      <c r="E1439" s="625"/>
      <c r="F1439" s="625"/>
      <c r="G1439" s="1"/>
    </row>
    <row r="1440" spans="1:7" ht="14.1" customHeight="1">
      <c r="A1440" s="482"/>
      <c r="B1440" s="333"/>
      <c r="C1440" s="336"/>
      <c r="D1440" s="336"/>
      <c r="E1440" s="336"/>
      <c r="F1440" s="367"/>
      <c r="G1440" s="1"/>
    </row>
    <row r="1441" spans="1:7" ht="14.1" customHeight="1">
      <c r="A1441" s="480">
        <v>13</v>
      </c>
      <c r="B1441" s="17" t="s">
        <v>153</v>
      </c>
      <c r="C1441" s="11" t="s">
        <v>154</v>
      </c>
      <c r="D1441" s="382">
        <v>0</v>
      </c>
      <c r="E1441" s="18">
        <f>'Mano de obra'!$J$20</f>
        <v>82.610000000000014</v>
      </c>
      <c r="F1441" s="375">
        <f>ROUND(D1441*E1441, 2)</f>
        <v>0</v>
      </c>
      <c r="G1441" s="1"/>
    </row>
    <row r="1442" spans="1:7" ht="14.1" customHeight="1">
      <c r="A1442" s="480">
        <v>14</v>
      </c>
      <c r="B1442" s="17" t="s">
        <v>155</v>
      </c>
      <c r="C1442" s="11" t="s">
        <v>154</v>
      </c>
      <c r="D1442" s="382">
        <v>6</v>
      </c>
      <c r="E1442" s="18">
        <f>'Mano de obra'!$J$21</f>
        <v>70.38</v>
      </c>
      <c r="F1442" s="375">
        <f t="shared" ref="F1442:F1445" si="72">ROUND(D1442*E1442, 2)</f>
        <v>422.28</v>
      </c>
      <c r="G1442" s="1"/>
    </row>
    <row r="1443" spans="1:7" ht="14.1" customHeight="1">
      <c r="A1443" s="480">
        <v>15</v>
      </c>
      <c r="B1443" s="17" t="s">
        <v>156</v>
      </c>
      <c r="C1443" s="11" t="s">
        <v>154</v>
      </c>
      <c r="D1443" s="382">
        <v>0</v>
      </c>
      <c r="E1443" s="18">
        <f>'Mano de obra'!$J$22</f>
        <v>64.78</v>
      </c>
      <c r="F1443" s="375">
        <f t="shared" si="72"/>
        <v>0</v>
      </c>
      <c r="G1443" s="1"/>
    </row>
    <row r="1444" spans="1:7" ht="14.1" customHeight="1">
      <c r="A1444" s="480">
        <v>16</v>
      </c>
      <c r="B1444" s="17" t="s">
        <v>157</v>
      </c>
      <c r="C1444" s="11" t="s">
        <v>154</v>
      </c>
      <c r="D1444" s="382">
        <v>6</v>
      </c>
      <c r="E1444" s="18">
        <f>'Mano de obra'!$J$23</f>
        <v>59.800000000000004</v>
      </c>
      <c r="F1444" s="375">
        <f t="shared" si="72"/>
        <v>358.8</v>
      </c>
      <c r="G1444" s="1"/>
    </row>
    <row r="1445" spans="1:7" ht="14.1" customHeight="1" thickBot="1">
      <c r="A1445" s="480">
        <v>17</v>
      </c>
      <c r="B1445" s="13"/>
      <c r="C1445" s="11"/>
      <c r="D1445" s="11"/>
      <c r="E1445" s="18"/>
      <c r="F1445" s="375">
        <f t="shared" si="72"/>
        <v>0</v>
      </c>
      <c r="G1445" s="1"/>
    </row>
    <row r="1446" spans="1:7" ht="14.1" customHeight="1" thickBot="1">
      <c r="A1446" s="483"/>
      <c r="B1446" s="333"/>
      <c r="C1446" s="336"/>
      <c r="D1446" s="336"/>
      <c r="E1446" s="367" t="s">
        <v>158</v>
      </c>
      <c r="F1446" s="376">
        <f>SUM(F1441:F1445)</f>
        <v>781.07999999999993</v>
      </c>
      <c r="G1446" s="1"/>
    </row>
    <row r="1447" spans="1:7" ht="14.1" customHeight="1" thickBot="1">
      <c r="A1447" s="484"/>
      <c r="B1447" s="333"/>
      <c r="C1447" s="336"/>
      <c r="D1447" s="336"/>
      <c r="E1447" s="336"/>
      <c r="F1447" s="367"/>
      <c r="G1447" s="1"/>
    </row>
    <row r="1448" spans="1:7" ht="14.1" customHeight="1" thickBot="1">
      <c r="A1448" s="480"/>
      <c r="B1448" s="142" t="s">
        <v>273</v>
      </c>
      <c r="C1448" s="369"/>
      <c r="D1448" s="369"/>
      <c r="E1448" s="377" t="s">
        <v>159</v>
      </c>
      <c r="F1448" s="376">
        <f>SUM(F1437+F1446)</f>
        <v>1225.17</v>
      </c>
      <c r="G1448" s="1"/>
    </row>
    <row r="1449" spans="1:7" ht="15" customHeight="1">
      <c r="A1449" s="626"/>
      <c r="B1449" s="627" t="s">
        <v>274</v>
      </c>
      <c r="C1449" s="628"/>
      <c r="D1449" s="628"/>
      <c r="E1449" s="629" t="s">
        <v>275</v>
      </c>
      <c r="F1449" s="631">
        <f>ROUND(F1448*'Coef. resumen'!$F$23, 2)</f>
        <v>1815.7</v>
      </c>
    </row>
    <row r="1450" spans="1:7" ht="15" customHeight="1" thickBot="1">
      <c r="A1450" s="626"/>
      <c r="B1450" s="627"/>
      <c r="C1450" s="628"/>
      <c r="D1450" s="628"/>
      <c r="E1450" s="630"/>
      <c r="F1450" s="632"/>
    </row>
    <row r="1451" spans="1:7" ht="15">
      <c r="A1451" s="471"/>
      <c r="B1451" s="2"/>
      <c r="C1451" s="337"/>
      <c r="D1451" s="337"/>
      <c r="E1451" s="337"/>
      <c r="F1451" s="337"/>
    </row>
    <row r="1452" spans="1:7" ht="15">
      <c r="A1452" s="471"/>
      <c r="B1452" s="2"/>
      <c r="C1452" s="337"/>
      <c r="D1452" s="337"/>
      <c r="E1452" s="337"/>
      <c r="F1452" s="337"/>
    </row>
    <row r="1453" spans="1:7" ht="15">
      <c r="A1453" s="471"/>
      <c r="B1453" s="194" t="str">
        <f>'Coef. resumen'!$B$30</f>
        <v>Julián Antonelli</v>
      </c>
      <c r="C1453" s="524"/>
      <c r="D1453" s="524"/>
      <c r="E1453" s="194" t="str">
        <f>'Coef. resumen'!$E$30</f>
        <v>Marcelo A. Pasquini</v>
      </c>
      <c r="F1453" s="337"/>
    </row>
    <row r="1454" spans="1:7" ht="15">
      <c r="A1454" s="471"/>
      <c r="B1454" s="194" t="str">
        <f>'Coef. resumen'!$B$31</f>
        <v>Ing. Civil M.P. 2161</v>
      </c>
      <c r="C1454" s="524"/>
      <c r="D1454" s="524"/>
      <c r="E1454" s="194" t="str">
        <f>'Coef. resumen'!$E$31</f>
        <v>Socio Gerente</v>
      </c>
      <c r="F1454" s="337"/>
    </row>
    <row r="1455" spans="1:7" ht="15">
      <c r="A1455" s="471"/>
      <c r="B1455" s="194" t="str">
        <f>'Coef. resumen'!$B$32</f>
        <v>Representante Técnico</v>
      </c>
      <c r="C1455" s="524"/>
      <c r="D1455" s="19"/>
      <c r="E1455" s="194" t="str">
        <f>'Coef. resumen'!$E$32</f>
        <v>Pasquini Construcciones SRL</v>
      </c>
      <c r="F1455" s="337"/>
    </row>
    <row r="1456" spans="1:7" ht="15">
      <c r="A1456" s="471"/>
      <c r="B1456" s="194"/>
      <c r="C1456" s="337"/>
      <c r="D1456" s="19"/>
      <c r="E1456" s="194"/>
      <c r="F1456" s="337"/>
    </row>
    <row r="1457" spans="1:7" ht="14.1" customHeight="1">
      <c r="A1457" s="477" t="s">
        <v>142</v>
      </c>
      <c r="B1457" s="613" t="str">
        <f>Presupuesto!B63</f>
        <v>Provisión y ejecución del Hormigón Armado H21</v>
      </c>
      <c r="C1457" s="614"/>
      <c r="D1457" s="615"/>
      <c r="E1457" s="367" t="s">
        <v>143</v>
      </c>
      <c r="F1457" s="30" t="str">
        <f>Presupuesto!C63</f>
        <v>m³</v>
      </c>
      <c r="G1457" s="1"/>
    </row>
    <row r="1458" spans="1:7" ht="14.1" customHeight="1">
      <c r="A1458" s="622" t="str">
        <f>Presupuesto!A63</f>
        <v>1.8.4</v>
      </c>
      <c r="B1458" s="616"/>
      <c r="C1458" s="617"/>
      <c r="D1458" s="618"/>
      <c r="E1458" s="367"/>
      <c r="F1458" s="367"/>
      <c r="G1458" s="1"/>
    </row>
    <row r="1459" spans="1:7" ht="14.1" customHeight="1">
      <c r="A1459" s="622"/>
      <c r="B1459" s="616"/>
      <c r="C1459" s="617"/>
      <c r="D1459" s="618"/>
      <c r="E1459" s="367"/>
      <c r="F1459" s="367"/>
      <c r="G1459" s="1"/>
    </row>
    <row r="1460" spans="1:7" ht="14.1" customHeight="1">
      <c r="A1460" s="623"/>
      <c r="B1460" s="619"/>
      <c r="C1460" s="620"/>
      <c r="D1460" s="621"/>
      <c r="E1460" s="367"/>
      <c r="F1460" s="367"/>
      <c r="G1460" s="1"/>
    </row>
    <row r="1461" spans="1:7" ht="14.1" customHeight="1">
      <c r="A1461" s="478"/>
      <c r="B1461" s="29"/>
      <c r="C1461" s="368"/>
      <c r="D1461" s="368"/>
      <c r="E1461" s="365"/>
      <c r="F1461" s="365"/>
      <c r="G1461" s="1"/>
    </row>
    <row r="1462" spans="1:7" ht="14.1" customHeight="1">
      <c r="A1462" s="624" t="s">
        <v>144</v>
      </c>
      <c r="B1462" s="624"/>
      <c r="C1462" s="624"/>
      <c r="D1462" s="624"/>
      <c r="E1462" s="624"/>
      <c r="F1462" s="624"/>
      <c r="G1462" s="1"/>
    </row>
    <row r="1463" spans="1:7" ht="14.1" customHeight="1">
      <c r="A1463" s="479"/>
      <c r="B1463" s="10"/>
      <c r="C1463" s="335"/>
      <c r="D1463" s="335"/>
      <c r="E1463" s="335"/>
      <c r="F1463" s="335"/>
      <c r="G1463" s="1"/>
    </row>
    <row r="1464" spans="1:7" ht="15.95" customHeight="1">
      <c r="A1464" s="480" t="s">
        <v>145</v>
      </c>
      <c r="B1464" s="11" t="s">
        <v>146</v>
      </c>
      <c r="C1464" s="11" t="s">
        <v>147</v>
      </c>
      <c r="D1464" s="11" t="s">
        <v>148</v>
      </c>
      <c r="E1464" s="12" t="s">
        <v>149</v>
      </c>
      <c r="F1464" s="11" t="s">
        <v>150</v>
      </c>
      <c r="G1464" s="1"/>
    </row>
    <row r="1465" spans="1:7" ht="14.1" customHeight="1">
      <c r="A1465" s="480">
        <v>1</v>
      </c>
      <c r="B1465" s="384" t="s">
        <v>1002</v>
      </c>
      <c r="C1465" s="305" t="s">
        <v>362</v>
      </c>
      <c r="D1465" s="385">
        <v>250</v>
      </c>
      <c r="E1465" s="18">
        <f>'MAT 31-10-2013'!R$14</f>
        <v>1.013611111111111</v>
      </c>
      <c r="F1465" s="375">
        <f>ROUND(D1465*E1465, 2)</f>
        <v>253.4</v>
      </c>
      <c r="G1465" s="1"/>
    </row>
    <row r="1466" spans="1:7" ht="14.1" customHeight="1">
      <c r="A1466" s="480">
        <v>2</v>
      </c>
      <c r="B1466" s="384" t="s">
        <v>1070</v>
      </c>
      <c r="C1466" s="305" t="s">
        <v>53</v>
      </c>
      <c r="D1466" s="385">
        <v>0.65</v>
      </c>
      <c r="E1466" s="18">
        <f>'MAT 31-10-2013'!R$5</f>
        <v>39.059027777777771</v>
      </c>
      <c r="F1466" s="375">
        <f t="shared" ref="F1466:F1476" si="73">ROUND(D1466*E1466, 2)</f>
        <v>25.39</v>
      </c>
      <c r="G1466" s="1"/>
    </row>
    <row r="1467" spans="1:7" ht="14.1" customHeight="1">
      <c r="A1467" s="480">
        <v>3</v>
      </c>
      <c r="B1467" s="384" t="s">
        <v>1071</v>
      </c>
      <c r="C1467" s="305" t="s">
        <v>53</v>
      </c>
      <c r="D1467" s="385">
        <v>0.65</v>
      </c>
      <c r="E1467" s="18">
        <f>'MAT 31-10-2013'!R$7</f>
        <v>39.059027777777771</v>
      </c>
      <c r="F1467" s="375">
        <f t="shared" si="73"/>
        <v>25.39</v>
      </c>
      <c r="G1467" s="1"/>
    </row>
    <row r="1468" spans="1:7" ht="14.1" customHeight="1">
      <c r="A1468" s="480">
        <v>4</v>
      </c>
      <c r="B1468" s="384" t="s">
        <v>1003</v>
      </c>
      <c r="C1468" s="305" t="s">
        <v>362</v>
      </c>
      <c r="D1468" s="385">
        <v>80</v>
      </c>
      <c r="E1468" s="18">
        <f>'MAT 31-10-2013'!R$32</f>
        <v>11.376875</v>
      </c>
      <c r="F1468" s="375">
        <f t="shared" si="73"/>
        <v>910.15</v>
      </c>
      <c r="G1468" s="1"/>
    </row>
    <row r="1469" spans="1:7" ht="14.1" customHeight="1">
      <c r="A1469" s="480">
        <v>5</v>
      </c>
      <c r="B1469" s="384" t="s">
        <v>1072</v>
      </c>
      <c r="C1469" s="305" t="s">
        <v>362</v>
      </c>
      <c r="D1469" s="385">
        <v>5</v>
      </c>
      <c r="E1469" s="18">
        <f>'MAT 31-10-2013'!R$35</f>
        <v>18.193777777777775</v>
      </c>
      <c r="F1469" s="375">
        <f t="shared" si="73"/>
        <v>90.97</v>
      </c>
      <c r="G1469" s="1"/>
    </row>
    <row r="1470" spans="1:7" ht="14.1" customHeight="1">
      <c r="A1470" s="480">
        <v>6</v>
      </c>
      <c r="B1470" s="384" t="s">
        <v>1074</v>
      </c>
      <c r="C1470" s="305" t="s">
        <v>329</v>
      </c>
      <c r="D1470" s="385">
        <v>40</v>
      </c>
      <c r="E1470" s="18">
        <f>'MAT 31-10-2013'!R$80</f>
        <v>6.75</v>
      </c>
      <c r="F1470" s="375">
        <f t="shared" si="73"/>
        <v>270</v>
      </c>
      <c r="G1470" s="1"/>
    </row>
    <row r="1471" spans="1:7" ht="14.1" customHeight="1">
      <c r="A1471" s="480">
        <v>7</v>
      </c>
      <c r="B1471" s="384" t="s">
        <v>1073</v>
      </c>
      <c r="C1471" s="305" t="s">
        <v>362</v>
      </c>
      <c r="D1471" s="385">
        <v>5</v>
      </c>
      <c r="E1471" s="18">
        <f>'MAT 31-10-2013'!R$37</f>
        <v>16.809374999999999</v>
      </c>
      <c r="F1471" s="375">
        <f t="shared" si="73"/>
        <v>84.05</v>
      </c>
      <c r="G1471" s="1"/>
    </row>
    <row r="1472" spans="1:7" ht="14.1" customHeight="1">
      <c r="A1472" s="480">
        <v>8</v>
      </c>
      <c r="B1472" s="13"/>
      <c r="C1472" s="11"/>
      <c r="D1472" s="14"/>
      <c r="E1472" s="18"/>
      <c r="F1472" s="375">
        <f t="shared" si="73"/>
        <v>0</v>
      </c>
      <c r="G1472" s="1"/>
    </row>
    <row r="1473" spans="1:7" ht="14.1" customHeight="1">
      <c r="A1473" s="480">
        <v>9</v>
      </c>
      <c r="B1473" s="220"/>
      <c r="C1473" s="334"/>
      <c r="D1473" s="14"/>
      <c r="E1473" s="18"/>
      <c r="F1473" s="375">
        <f t="shared" si="73"/>
        <v>0</v>
      </c>
      <c r="G1473" s="1"/>
    </row>
    <row r="1474" spans="1:7" ht="14.1" customHeight="1">
      <c r="A1474" s="480">
        <v>10</v>
      </c>
      <c r="B1474" s="201"/>
      <c r="C1474" s="11"/>
      <c r="D1474" s="14"/>
      <c r="E1474" s="18"/>
      <c r="F1474" s="375">
        <f t="shared" si="73"/>
        <v>0</v>
      </c>
      <c r="G1474" s="1"/>
    </row>
    <row r="1475" spans="1:7" ht="14.1" customHeight="1">
      <c r="A1475" s="480">
        <v>11</v>
      </c>
      <c r="B1475" s="13"/>
      <c r="C1475" s="11"/>
      <c r="D1475" s="14"/>
      <c r="E1475" s="18"/>
      <c r="F1475" s="375">
        <f t="shared" si="73"/>
        <v>0</v>
      </c>
      <c r="G1475" s="1"/>
    </row>
    <row r="1476" spans="1:7" ht="14.1" customHeight="1" thickBot="1">
      <c r="A1476" s="480">
        <v>12</v>
      </c>
      <c r="B1476" s="13"/>
      <c r="C1476" s="11"/>
      <c r="D1476" s="11"/>
      <c r="E1476" s="18"/>
      <c r="F1476" s="375">
        <f t="shared" si="73"/>
        <v>0</v>
      </c>
      <c r="G1476" s="1"/>
    </row>
    <row r="1477" spans="1:7" ht="14.1" customHeight="1" thickBot="1">
      <c r="A1477" s="481"/>
      <c r="B1477" s="5"/>
      <c r="C1477" s="367"/>
      <c r="D1477" s="367"/>
      <c r="E1477" s="367" t="s">
        <v>151</v>
      </c>
      <c r="F1477" s="376">
        <f>SUM(F1465:F1476)</f>
        <v>1659.35</v>
      </c>
      <c r="G1477" s="1"/>
    </row>
    <row r="1478" spans="1:7" ht="14.1" customHeight="1">
      <c r="A1478" s="482"/>
      <c r="B1478" s="333"/>
      <c r="C1478" s="336"/>
      <c r="D1478" s="336"/>
      <c r="E1478" s="336"/>
      <c r="F1478" s="336"/>
      <c r="G1478" s="1"/>
    </row>
    <row r="1479" spans="1:7" ht="14.1" customHeight="1">
      <c r="A1479" s="625" t="s">
        <v>152</v>
      </c>
      <c r="B1479" s="625"/>
      <c r="C1479" s="625"/>
      <c r="D1479" s="625"/>
      <c r="E1479" s="625"/>
      <c r="F1479" s="625"/>
      <c r="G1479" s="1"/>
    </row>
    <row r="1480" spans="1:7" ht="14.1" customHeight="1">
      <c r="A1480" s="482"/>
      <c r="B1480" s="333"/>
      <c r="C1480" s="336"/>
      <c r="D1480" s="336"/>
      <c r="E1480" s="336"/>
      <c r="F1480" s="367"/>
      <c r="G1480" s="1"/>
    </row>
    <row r="1481" spans="1:7" ht="14.1" customHeight="1">
      <c r="A1481" s="480">
        <v>13</v>
      </c>
      <c r="B1481" s="17" t="s">
        <v>153</v>
      </c>
      <c r="C1481" s="11" t="s">
        <v>154</v>
      </c>
      <c r="D1481" s="382">
        <v>0</v>
      </c>
      <c r="E1481" s="18">
        <f>'Mano de obra'!$J$20</f>
        <v>82.610000000000014</v>
      </c>
      <c r="F1481" s="375">
        <f>ROUND(D1481*E1481, 2)</f>
        <v>0</v>
      </c>
      <c r="G1481" s="1"/>
    </row>
    <row r="1482" spans="1:7" ht="14.1" customHeight="1">
      <c r="A1482" s="480">
        <v>14</v>
      </c>
      <c r="B1482" s="17" t="s">
        <v>155</v>
      </c>
      <c r="C1482" s="11" t="s">
        <v>154</v>
      </c>
      <c r="D1482" s="382">
        <v>14</v>
      </c>
      <c r="E1482" s="18">
        <f>'Mano de obra'!$J$21</f>
        <v>70.38</v>
      </c>
      <c r="F1482" s="375">
        <f t="shared" ref="F1482:F1485" si="74">ROUND(D1482*E1482, 2)</f>
        <v>985.32</v>
      </c>
      <c r="G1482" s="1"/>
    </row>
    <row r="1483" spans="1:7" ht="14.1" customHeight="1">
      <c r="A1483" s="480">
        <v>15</v>
      </c>
      <c r="B1483" s="17" t="s">
        <v>156</v>
      </c>
      <c r="C1483" s="11" t="s">
        <v>154</v>
      </c>
      <c r="D1483" s="382">
        <v>0</v>
      </c>
      <c r="E1483" s="18">
        <f>'Mano de obra'!$J$22</f>
        <v>64.78</v>
      </c>
      <c r="F1483" s="375">
        <f t="shared" si="74"/>
        <v>0</v>
      </c>
      <c r="G1483" s="1"/>
    </row>
    <row r="1484" spans="1:7" ht="14.1" customHeight="1">
      <c r="A1484" s="480">
        <v>16</v>
      </c>
      <c r="B1484" s="17" t="s">
        <v>157</v>
      </c>
      <c r="C1484" s="11" t="s">
        <v>154</v>
      </c>
      <c r="D1484" s="382">
        <v>12</v>
      </c>
      <c r="E1484" s="18">
        <f>'Mano de obra'!$J$23</f>
        <v>59.800000000000004</v>
      </c>
      <c r="F1484" s="375">
        <f t="shared" si="74"/>
        <v>717.6</v>
      </c>
      <c r="G1484" s="1"/>
    </row>
    <row r="1485" spans="1:7" ht="14.1" customHeight="1" thickBot="1">
      <c r="A1485" s="480">
        <v>17</v>
      </c>
      <c r="B1485" s="13"/>
      <c r="C1485" s="11"/>
      <c r="D1485" s="11"/>
      <c r="E1485" s="18"/>
      <c r="F1485" s="375">
        <f t="shared" si="74"/>
        <v>0</v>
      </c>
      <c r="G1485" s="1"/>
    </row>
    <row r="1486" spans="1:7" ht="14.1" customHeight="1" thickBot="1">
      <c r="A1486" s="483"/>
      <c r="B1486" s="333"/>
      <c r="C1486" s="336"/>
      <c r="D1486" s="336"/>
      <c r="E1486" s="367" t="s">
        <v>158</v>
      </c>
      <c r="F1486" s="376">
        <f>SUM(F1481:F1485)</f>
        <v>1702.92</v>
      </c>
      <c r="G1486" s="1"/>
    </row>
    <row r="1487" spans="1:7" ht="14.1" customHeight="1" thickBot="1">
      <c r="A1487" s="484"/>
      <c r="B1487" s="333"/>
      <c r="C1487" s="336"/>
      <c r="D1487" s="336"/>
      <c r="E1487" s="336"/>
      <c r="F1487" s="367"/>
      <c r="G1487" s="1"/>
    </row>
    <row r="1488" spans="1:7" ht="14.1" customHeight="1" thickBot="1">
      <c r="A1488" s="480"/>
      <c r="B1488" s="142" t="s">
        <v>273</v>
      </c>
      <c r="C1488" s="369"/>
      <c r="D1488" s="369"/>
      <c r="E1488" s="377" t="s">
        <v>159</v>
      </c>
      <c r="F1488" s="376">
        <f>SUM(F1477+F1486)</f>
        <v>3362.27</v>
      </c>
      <c r="G1488" s="1"/>
    </row>
    <row r="1489" spans="1:7" ht="15" customHeight="1">
      <c r="A1489" s="626"/>
      <c r="B1489" s="627" t="s">
        <v>274</v>
      </c>
      <c r="C1489" s="628"/>
      <c r="D1489" s="628"/>
      <c r="E1489" s="629" t="s">
        <v>275</v>
      </c>
      <c r="F1489" s="631">
        <f>ROUND(F1488*'Coef. resumen'!$F$23, 2)</f>
        <v>4982.88</v>
      </c>
    </row>
    <row r="1490" spans="1:7" ht="15" customHeight="1" thickBot="1">
      <c r="A1490" s="626"/>
      <c r="B1490" s="627"/>
      <c r="C1490" s="628"/>
      <c r="D1490" s="628"/>
      <c r="E1490" s="630"/>
      <c r="F1490" s="632"/>
    </row>
    <row r="1491" spans="1:7" ht="15">
      <c r="A1491" s="471"/>
      <c r="B1491" s="2"/>
      <c r="C1491" s="337"/>
      <c r="D1491" s="337"/>
      <c r="E1491" s="337"/>
      <c r="F1491" s="337"/>
    </row>
    <row r="1492" spans="1:7" ht="15">
      <c r="A1492" s="471"/>
      <c r="B1492" s="2"/>
      <c r="C1492" s="337"/>
      <c r="D1492" s="337"/>
      <c r="E1492" s="337"/>
      <c r="F1492" s="337"/>
    </row>
    <row r="1493" spans="1:7" ht="15">
      <c r="A1493" s="471"/>
      <c r="B1493" s="194" t="str">
        <f>'Coef. resumen'!$B$30</f>
        <v>Julián Antonelli</v>
      </c>
      <c r="C1493" s="524"/>
      <c r="D1493" s="524"/>
      <c r="E1493" s="194" t="str">
        <f>'Coef. resumen'!$E$30</f>
        <v>Marcelo A. Pasquini</v>
      </c>
      <c r="F1493" s="337"/>
    </row>
    <row r="1494" spans="1:7" ht="15">
      <c r="A1494" s="471"/>
      <c r="B1494" s="194" t="str">
        <f>'Coef. resumen'!$B$31</f>
        <v>Ing. Civil M.P. 2161</v>
      </c>
      <c r="C1494" s="524"/>
      <c r="D1494" s="524"/>
      <c r="E1494" s="194" t="str">
        <f>'Coef. resumen'!$E$31</f>
        <v>Socio Gerente</v>
      </c>
      <c r="F1494" s="337"/>
    </row>
    <row r="1495" spans="1:7" ht="15">
      <c r="A1495" s="471"/>
      <c r="B1495" s="194" t="str">
        <f>'Coef. resumen'!$B$32</f>
        <v>Representante Técnico</v>
      </c>
      <c r="C1495" s="524"/>
      <c r="D1495" s="19"/>
      <c r="E1495" s="194" t="str">
        <f>'Coef. resumen'!$E$32</f>
        <v>Pasquini Construcciones SRL</v>
      </c>
      <c r="F1495" s="337"/>
    </row>
    <row r="1496" spans="1:7" ht="15">
      <c r="A1496" s="471"/>
      <c r="B1496" s="194"/>
      <c r="C1496" s="337"/>
      <c r="D1496" s="19"/>
      <c r="E1496" s="194"/>
      <c r="F1496" s="337"/>
    </row>
    <row r="1497" spans="1:7" ht="14.1" customHeight="1">
      <c r="A1497" s="477" t="s">
        <v>142</v>
      </c>
      <c r="B1497" s="613" t="str">
        <f>Presupuesto!B64</f>
        <v>Pintura interna con epoxi</v>
      </c>
      <c r="C1497" s="614"/>
      <c r="D1497" s="615"/>
      <c r="E1497" s="367" t="s">
        <v>143</v>
      </c>
      <c r="F1497" s="30" t="str">
        <f>Presupuesto!C64</f>
        <v>m²</v>
      </c>
      <c r="G1497" s="1"/>
    </row>
    <row r="1498" spans="1:7" ht="14.1" customHeight="1">
      <c r="A1498" s="622" t="str">
        <f>Presupuesto!A64</f>
        <v>1.8.5</v>
      </c>
      <c r="B1498" s="616"/>
      <c r="C1498" s="617"/>
      <c r="D1498" s="618"/>
      <c r="E1498" s="367"/>
      <c r="F1498" s="367"/>
      <c r="G1498" s="1"/>
    </row>
    <row r="1499" spans="1:7" ht="14.1" customHeight="1">
      <c r="A1499" s="622"/>
      <c r="B1499" s="616"/>
      <c r="C1499" s="617"/>
      <c r="D1499" s="618"/>
      <c r="E1499" s="367"/>
      <c r="F1499" s="367"/>
      <c r="G1499" s="1"/>
    </row>
    <row r="1500" spans="1:7" ht="14.1" customHeight="1">
      <c r="A1500" s="623"/>
      <c r="B1500" s="619"/>
      <c r="C1500" s="620"/>
      <c r="D1500" s="621"/>
      <c r="E1500" s="367"/>
      <c r="F1500" s="367"/>
      <c r="G1500" s="1"/>
    </row>
    <row r="1501" spans="1:7" ht="14.1" customHeight="1">
      <c r="A1501" s="478"/>
      <c r="B1501" s="29"/>
      <c r="C1501" s="368"/>
      <c r="D1501" s="368"/>
      <c r="E1501" s="365"/>
      <c r="F1501" s="365"/>
      <c r="G1501" s="1"/>
    </row>
    <row r="1502" spans="1:7" ht="14.1" customHeight="1">
      <c r="A1502" s="624" t="s">
        <v>144</v>
      </c>
      <c r="B1502" s="624"/>
      <c r="C1502" s="624"/>
      <c r="D1502" s="624"/>
      <c r="E1502" s="624"/>
      <c r="F1502" s="624"/>
      <c r="G1502" s="1"/>
    </row>
    <row r="1503" spans="1:7" ht="14.1" customHeight="1">
      <c r="A1503" s="479"/>
      <c r="B1503" s="10"/>
      <c r="C1503" s="335"/>
      <c r="D1503" s="335"/>
      <c r="E1503" s="335"/>
      <c r="F1503" s="335"/>
      <c r="G1503" s="1"/>
    </row>
    <row r="1504" spans="1:7" ht="15.95" customHeight="1">
      <c r="A1504" s="480" t="s">
        <v>145</v>
      </c>
      <c r="B1504" s="11" t="s">
        <v>146</v>
      </c>
      <c r="C1504" s="11" t="s">
        <v>147</v>
      </c>
      <c r="D1504" s="11" t="s">
        <v>148</v>
      </c>
      <c r="E1504" s="12" t="s">
        <v>149</v>
      </c>
      <c r="F1504" s="11" t="s">
        <v>150</v>
      </c>
      <c r="G1504" s="1"/>
    </row>
    <row r="1505" spans="1:7" ht="14.1" customHeight="1">
      <c r="A1505" s="480">
        <v>1</v>
      </c>
      <c r="B1505" s="384" t="s">
        <v>1075</v>
      </c>
      <c r="C1505" s="305" t="s">
        <v>1077</v>
      </c>
      <c r="D1505" s="385">
        <v>0.4</v>
      </c>
      <c r="E1505" s="18">
        <f>'MAT 31-10-2013'!R$139/4</f>
        <v>59.828229166666667</v>
      </c>
      <c r="F1505" s="375">
        <f>ROUND(D1505*E1505, 2)</f>
        <v>23.93</v>
      </c>
      <c r="G1505" s="1"/>
    </row>
    <row r="1506" spans="1:7" ht="14.1" customHeight="1">
      <c r="A1506" s="480">
        <v>2</v>
      </c>
      <c r="B1506" s="383" t="s">
        <v>1076</v>
      </c>
      <c r="C1506" s="305" t="s">
        <v>1026</v>
      </c>
      <c r="D1506" s="385">
        <v>1</v>
      </c>
      <c r="E1506" s="18">
        <f>0.3*F$1145</f>
        <v>7.1789999999999994</v>
      </c>
      <c r="F1506" s="375">
        <f t="shared" ref="F1506:F1516" si="75">ROUND(D1506*E1506, 2)</f>
        <v>7.18</v>
      </c>
      <c r="G1506" s="1"/>
    </row>
    <row r="1507" spans="1:7" ht="14.1" customHeight="1">
      <c r="A1507" s="480">
        <v>3</v>
      </c>
      <c r="B1507" s="384"/>
      <c r="C1507" s="305"/>
      <c r="D1507" s="385"/>
      <c r="E1507" s="18"/>
      <c r="F1507" s="375">
        <f t="shared" si="75"/>
        <v>0</v>
      </c>
      <c r="G1507" s="1"/>
    </row>
    <row r="1508" spans="1:7" ht="14.1" customHeight="1">
      <c r="A1508" s="480">
        <v>4</v>
      </c>
      <c r="B1508" s="384"/>
      <c r="C1508" s="305"/>
      <c r="D1508" s="385"/>
      <c r="E1508" s="18"/>
      <c r="F1508" s="375">
        <f t="shared" si="75"/>
        <v>0</v>
      </c>
      <c r="G1508" s="1"/>
    </row>
    <row r="1509" spans="1:7" ht="14.1" customHeight="1">
      <c r="A1509" s="480">
        <v>5</v>
      </c>
      <c r="B1509" s="384"/>
      <c r="C1509" s="305"/>
      <c r="D1509" s="385"/>
      <c r="E1509" s="18"/>
      <c r="F1509" s="375">
        <f t="shared" si="75"/>
        <v>0</v>
      </c>
      <c r="G1509" s="1"/>
    </row>
    <row r="1510" spans="1:7" ht="14.1" customHeight="1">
      <c r="A1510" s="480">
        <v>6</v>
      </c>
      <c r="B1510" s="384"/>
      <c r="C1510" s="305"/>
      <c r="D1510" s="385"/>
      <c r="E1510" s="18"/>
      <c r="F1510" s="375">
        <f t="shared" si="75"/>
        <v>0</v>
      </c>
      <c r="G1510" s="1"/>
    </row>
    <row r="1511" spans="1:7" ht="14.1" customHeight="1">
      <c r="A1511" s="480">
        <v>7</v>
      </c>
      <c r="B1511" s="384"/>
      <c r="C1511" s="305"/>
      <c r="D1511" s="385"/>
      <c r="E1511" s="18"/>
      <c r="F1511" s="375">
        <f t="shared" si="75"/>
        <v>0</v>
      </c>
      <c r="G1511" s="1"/>
    </row>
    <row r="1512" spans="1:7" ht="14.1" customHeight="1">
      <c r="A1512" s="480">
        <v>8</v>
      </c>
      <c r="B1512" s="13"/>
      <c r="C1512" s="11"/>
      <c r="D1512" s="14"/>
      <c r="E1512" s="18"/>
      <c r="F1512" s="375">
        <f t="shared" si="75"/>
        <v>0</v>
      </c>
      <c r="G1512" s="1"/>
    </row>
    <row r="1513" spans="1:7" ht="14.1" customHeight="1">
      <c r="A1513" s="480">
        <v>9</v>
      </c>
      <c r="B1513" s="220"/>
      <c r="C1513" s="334"/>
      <c r="D1513" s="14"/>
      <c r="E1513" s="18"/>
      <c r="F1513" s="375">
        <f t="shared" si="75"/>
        <v>0</v>
      </c>
      <c r="G1513" s="1"/>
    </row>
    <row r="1514" spans="1:7" ht="14.1" customHeight="1">
      <c r="A1514" s="480">
        <v>10</v>
      </c>
      <c r="B1514" s="201"/>
      <c r="C1514" s="11"/>
      <c r="D1514" s="14"/>
      <c r="E1514" s="18"/>
      <c r="F1514" s="375">
        <f t="shared" si="75"/>
        <v>0</v>
      </c>
      <c r="G1514" s="1"/>
    </row>
    <row r="1515" spans="1:7" ht="14.1" customHeight="1">
      <c r="A1515" s="480">
        <v>11</v>
      </c>
      <c r="B1515" s="13"/>
      <c r="C1515" s="11"/>
      <c r="D1515" s="14"/>
      <c r="E1515" s="18"/>
      <c r="F1515" s="375">
        <f t="shared" si="75"/>
        <v>0</v>
      </c>
      <c r="G1515" s="1"/>
    </row>
    <row r="1516" spans="1:7" ht="14.1" customHeight="1" thickBot="1">
      <c r="A1516" s="480">
        <v>12</v>
      </c>
      <c r="B1516" s="13"/>
      <c r="C1516" s="11"/>
      <c r="D1516" s="11"/>
      <c r="E1516" s="18"/>
      <c r="F1516" s="375">
        <f t="shared" si="75"/>
        <v>0</v>
      </c>
      <c r="G1516" s="1"/>
    </row>
    <row r="1517" spans="1:7" ht="14.1" customHeight="1" thickBot="1">
      <c r="A1517" s="481"/>
      <c r="B1517" s="5"/>
      <c r="C1517" s="367"/>
      <c r="D1517" s="367"/>
      <c r="E1517" s="367" t="s">
        <v>151</v>
      </c>
      <c r="F1517" s="376">
        <f>SUM(F1505:F1516)</f>
        <v>31.11</v>
      </c>
      <c r="G1517" s="1"/>
    </row>
    <row r="1518" spans="1:7" ht="14.1" customHeight="1">
      <c r="A1518" s="482"/>
      <c r="B1518" s="333"/>
      <c r="C1518" s="336"/>
      <c r="D1518" s="336"/>
      <c r="E1518" s="336"/>
      <c r="F1518" s="336"/>
      <c r="G1518" s="1"/>
    </row>
    <row r="1519" spans="1:7" ht="14.1" customHeight="1">
      <c r="A1519" s="625" t="s">
        <v>152</v>
      </c>
      <c r="B1519" s="625"/>
      <c r="C1519" s="625"/>
      <c r="D1519" s="625"/>
      <c r="E1519" s="625"/>
      <c r="F1519" s="625"/>
      <c r="G1519" s="1"/>
    </row>
    <row r="1520" spans="1:7" ht="14.1" customHeight="1">
      <c r="A1520" s="482"/>
      <c r="B1520" s="333"/>
      <c r="C1520" s="336"/>
      <c r="D1520" s="336"/>
      <c r="E1520" s="336"/>
      <c r="F1520" s="367"/>
      <c r="G1520" s="1"/>
    </row>
    <row r="1521" spans="1:7" ht="14.1" customHeight="1">
      <c r="A1521" s="480">
        <v>13</v>
      </c>
      <c r="B1521" s="17" t="s">
        <v>153</v>
      </c>
      <c r="C1521" s="11" t="s">
        <v>154</v>
      </c>
      <c r="D1521" s="382"/>
      <c r="E1521" s="18">
        <f>'Mano de obra'!$J$20</f>
        <v>82.610000000000014</v>
      </c>
      <c r="F1521" s="375">
        <f>ROUND(D1521*E1521, 2)</f>
        <v>0</v>
      </c>
      <c r="G1521" s="1"/>
    </row>
    <row r="1522" spans="1:7" ht="14.1" customHeight="1">
      <c r="A1522" s="480">
        <v>14</v>
      </c>
      <c r="B1522" s="17" t="s">
        <v>155</v>
      </c>
      <c r="C1522" s="11" t="s">
        <v>154</v>
      </c>
      <c r="D1522" s="382">
        <v>0.6</v>
      </c>
      <c r="E1522" s="18">
        <f>'Mano de obra'!$J$21</f>
        <v>70.38</v>
      </c>
      <c r="F1522" s="375">
        <f t="shared" ref="F1522:F1525" si="76">ROUND(D1522*E1522, 2)</f>
        <v>42.23</v>
      </c>
      <c r="G1522" s="1"/>
    </row>
    <row r="1523" spans="1:7" ht="14.1" customHeight="1">
      <c r="A1523" s="480">
        <v>15</v>
      </c>
      <c r="B1523" s="17" t="s">
        <v>156</v>
      </c>
      <c r="C1523" s="11" t="s">
        <v>154</v>
      </c>
      <c r="D1523" s="382"/>
      <c r="E1523" s="18">
        <f>'Mano de obra'!$J$22</f>
        <v>64.78</v>
      </c>
      <c r="F1523" s="375">
        <f t="shared" si="76"/>
        <v>0</v>
      </c>
      <c r="G1523" s="1"/>
    </row>
    <row r="1524" spans="1:7" ht="14.1" customHeight="1">
      <c r="A1524" s="480">
        <v>16</v>
      </c>
      <c r="B1524" s="17" t="s">
        <v>157</v>
      </c>
      <c r="C1524" s="11" t="s">
        <v>154</v>
      </c>
      <c r="D1524" s="382">
        <v>0.4</v>
      </c>
      <c r="E1524" s="18">
        <f>'Mano de obra'!$J$23</f>
        <v>59.800000000000004</v>
      </c>
      <c r="F1524" s="375">
        <f t="shared" si="76"/>
        <v>23.92</v>
      </c>
      <c r="G1524" s="1"/>
    </row>
    <row r="1525" spans="1:7" ht="14.1" customHeight="1" thickBot="1">
      <c r="A1525" s="480">
        <v>17</v>
      </c>
      <c r="B1525" s="13"/>
      <c r="C1525" s="11"/>
      <c r="D1525" s="11"/>
      <c r="E1525" s="18"/>
      <c r="F1525" s="375">
        <f t="shared" si="76"/>
        <v>0</v>
      </c>
      <c r="G1525" s="1"/>
    </row>
    <row r="1526" spans="1:7" ht="14.1" customHeight="1" thickBot="1">
      <c r="A1526" s="483"/>
      <c r="B1526" s="333"/>
      <c r="C1526" s="336"/>
      <c r="D1526" s="336"/>
      <c r="E1526" s="367" t="s">
        <v>158</v>
      </c>
      <c r="F1526" s="376">
        <f>SUM(F1521:F1525)</f>
        <v>66.150000000000006</v>
      </c>
      <c r="G1526" s="1"/>
    </row>
    <row r="1527" spans="1:7" ht="14.1" customHeight="1" thickBot="1">
      <c r="A1527" s="484"/>
      <c r="B1527" s="333"/>
      <c r="C1527" s="336"/>
      <c r="D1527" s="336"/>
      <c r="E1527" s="336"/>
      <c r="F1527" s="367"/>
      <c r="G1527" s="1"/>
    </row>
    <row r="1528" spans="1:7" ht="14.1" customHeight="1" thickBot="1">
      <c r="A1528" s="480"/>
      <c r="B1528" s="142" t="s">
        <v>273</v>
      </c>
      <c r="C1528" s="369"/>
      <c r="D1528" s="369"/>
      <c r="E1528" s="377" t="s">
        <v>159</v>
      </c>
      <c r="F1528" s="376">
        <f>SUM(F1517+F1526)</f>
        <v>97.26</v>
      </c>
      <c r="G1528" s="1"/>
    </row>
    <row r="1529" spans="1:7" ht="15" customHeight="1">
      <c r="A1529" s="626"/>
      <c r="B1529" s="627" t="s">
        <v>274</v>
      </c>
      <c r="C1529" s="628"/>
      <c r="D1529" s="628"/>
      <c r="E1529" s="629" t="s">
        <v>275</v>
      </c>
      <c r="F1529" s="631">
        <f>ROUND(F1528*'Coef. resumen'!$F$23, 2)</f>
        <v>144.13999999999999</v>
      </c>
    </row>
    <row r="1530" spans="1:7" ht="15" customHeight="1" thickBot="1">
      <c r="A1530" s="626"/>
      <c r="B1530" s="627"/>
      <c r="C1530" s="628"/>
      <c r="D1530" s="628"/>
      <c r="E1530" s="630"/>
      <c r="F1530" s="632"/>
    </row>
    <row r="1531" spans="1:7" ht="15">
      <c r="A1531" s="471"/>
      <c r="B1531" s="2"/>
      <c r="C1531" s="337"/>
      <c r="D1531" s="337"/>
      <c r="E1531" s="337"/>
      <c r="F1531" s="337"/>
    </row>
    <row r="1532" spans="1:7" ht="15">
      <c r="A1532" s="471"/>
      <c r="B1532" s="2"/>
      <c r="C1532" s="337"/>
      <c r="D1532" s="337"/>
      <c r="E1532" s="337"/>
      <c r="F1532" s="337"/>
    </row>
    <row r="1533" spans="1:7" ht="15">
      <c r="A1533" s="471"/>
      <c r="B1533" s="194" t="str">
        <f>'Coef. resumen'!$B$30</f>
        <v>Julián Antonelli</v>
      </c>
      <c r="C1533" s="524"/>
      <c r="D1533" s="524"/>
      <c r="E1533" s="194" t="str">
        <f>'Coef. resumen'!$E$30</f>
        <v>Marcelo A. Pasquini</v>
      </c>
      <c r="F1533" s="337"/>
    </row>
    <row r="1534" spans="1:7" ht="15">
      <c r="A1534" s="471"/>
      <c r="B1534" s="194" t="str">
        <f>'Coef. resumen'!$B$31</f>
        <v>Ing. Civil M.P. 2161</v>
      </c>
      <c r="C1534" s="524"/>
      <c r="D1534" s="524"/>
      <c r="E1534" s="194" t="str">
        <f>'Coef. resumen'!$E$31</f>
        <v>Socio Gerente</v>
      </c>
      <c r="F1534" s="337"/>
    </row>
    <row r="1535" spans="1:7" ht="15">
      <c r="A1535" s="471"/>
      <c r="B1535" s="194" t="str">
        <f>'Coef. resumen'!$B$32</f>
        <v>Representante Técnico</v>
      </c>
      <c r="C1535" s="524"/>
      <c r="D1535" s="19"/>
      <c r="E1535" s="194" t="str">
        <f>'Coef. resumen'!$E$32</f>
        <v>Pasquini Construcciones SRL</v>
      </c>
      <c r="F1535" s="337"/>
    </row>
    <row r="1536" spans="1:7" ht="15">
      <c r="A1536" s="471"/>
      <c r="B1536" s="194"/>
      <c r="C1536" s="337"/>
      <c r="D1536" s="19"/>
      <c r="E1536" s="194"/>
      <c r="F1536" s="337"/>
    </row>
    <row r="1537" spans="1:7" ht="14.1" customHeight="1">
      <c r="A1537" s="477" t="s">
        <v>142</v>
      </c>
      <c r="B1537" s="613" t="str">
        <f>Presupuesto!B65</f>
        <v>Pintura látex para exterior color cemento</v>
      </c>
      <c r="C1537" s="614"/>
      <c r="D1537" s="615"/>
      <c r="E1537" s="367" t="s">
        <v>143</v>
      </c>
      <c r="F1537" s="30" t="str">
        <f>Presupuesto!C65</f>
        <v>m²</v>
      </c>
      <c r="G1537" s="1"/>
    </row>
    <row r="1538" spans="1:7" ht="14.1" customHeight="1">
      <c r="A1538" s="622" t="str">
        <f>Presupuesto!A65</f>
        <v>1.8.6</v>
      </c>
      <c r="B1538" s="616"/>
      <c r="C1538" s="617"/>
      <c r="D1538" s="618"/>
      <c r="E1538" s="367"/>
      <c r="F1538" s="367"/>
      <c r="G1538" s="1"/>
    </row>
    <row r="1539" spans="1:7" ht="14.1" customHeight="1">
      <c r="A1539" s="622"/>
      <c r="B1539" s="616"/>
      <c r="C1539" s="617"/>
      <c r="D1539" s="618"/>
      <c r="E1539" s="367"/>
      <c r="F1539" s="367"/>
      <c r="G1539" s="1"/>
    </row>
    <row r="1540" spans="1:7" ht="14.1" customHeight="1">
      <c r="A1540" s="623"/>
      <c r="B1540" s="619"/>
      <c r="C1540" s="620"/>
      <c r="D1540" s="621"/>
      <c r="E1540" s="367"/>
      <c r="F1540" s="367"/>
      <c r="G1540" s="1"/>
    </row>
    <row r="1541" spans="1:7" ht="14.1" customHeight="1">
      <c r="A1541" s="478"/>
      <c r="B1541" s="29"/>
      <c r="C1541" s="368"/>
      <c r="D1541" s="368"/>
      <c r="E1541" s="365"/>
      <c r="F1541" s="365"/>
      <c r="G1541" s="1"/>
    </row>
    <row r="1542" spans="1:7" ht="14.1" customHeight="1">
      <c r="A1542" s="624" t="s">
        <v>144</v>
      </c>
      <c r="B1542" s="624"/>
      <c r="C1542" s="624"/>
      <c r="D1542" s="624"/>
      <c r="E1542" s="624"/>
      <c r="F1542" s="624"/>
      <c r="G1542" s="1"/>
    </row>
    <row r="1543" spans="1:7" ht="14.1" customHeight="1">
      <c r="A1543" s="479"/>
      <c r="B1543" s="10"/>
      <c r="C1543" s="335"/>
      <c r="D1543" s="335"/>
      <c r="E1543" s="335"/>
      <c r="F1543" s="335"/>
      <c r="G1543" s="1"/>
    </row>
    <row r="1544" spans="1:7" ht="15.95" customHeight="1">
      <c r="A1544" s="480" t="s">
        <v>145</v>
      </c>
      <c r="B1544" s="11" t="s">
        <v>146</v>
      </c>
      <c r="C1544" s="11" t="s">
        <v>147</v>
      </c>
      <c r="D1544" s="11" t="s">
        <v>148</v>
      </c>
      <c r="E1544" s="12" t="s">
        <v>149</v>
      </c>
      <c r="F1544" s="11" t="s">
        <v>150</v>
      </c>
      <c r="G1544" s="1"/>
    </row>
    <row r="1545" spans="1:7" ht="14.1" customHeight="1">
      <c r="A1545" s="480">
        <v>1</v>
      </c>
      <c r="B1545" s="384" t="s">
        <v>1078</v>
      </c>
      <c r="C1545" s="305" t="s">
        <v>1077</v>
      </c>
      <c r="D1545" s="385">
        <v>0.5</v>
      </c>
      <c r="E1545" s="18">
        <f>'MAT 31-10-2013'!R$144/4*1.2</f>
        <v>30.961379166666667</v>
      </c>
      <c r="F1545" s="375">
        <f>ROUND(D1545*E1545, 2)</f>
        <v>15.48</v>
      </c>
      <c r="G1545" s="1"/>
    </row>
    <row r="1546" spans="1:7" ht="14.1" customHeight="1">
      <c r="A1546" s="480">
        <v>2</v>
      </c>
      <c r="B1546" s="383" t="s">
        <v>1076</v>
      </c>
      <c r="C1546" s="305" t="s">
        <v>1026</v>
      </c>
      <c r="D1546" s="385">
        <v>1</v>
      </c>
      <c r="E1546" s="18">
        <f>0.3*F$1185</f>
        <v>4.6440000000000001</v>
      </c>
      <c r="F1546" s="375">
        <f t="shared" ref="F1546:F1556" si="77">ROUND(D1546*E1546, 2)</f>
        <v>4.6399999999999997</v>
      </c>
      <c r="G1546" s="1"/>
    </row>
    <row r="1547" spans="1:7" ht="14.1" customHeight="1">
      <c r="A1547" s="480">
        <v>3</v>
      </c>
      <c r="B1547" s="384"/>
      <c r="C1547" s="305"/>
      <c r="D1547" s="385"/>
      <c r="E1547" s="18"/>
      <c r="F1547" s="375">
        <f t="shared" si="77"/>
        <v>0</v>
      </c>
      <c r="G1547" s="1"/>
    </row>
    <row r="1548" spans="1:7" ht="14.1" customHeight="1">
      <c r="A1548" s="480">
        <v>4</v>
      </c>
      <c r="B1548" s="384"/>
      <c r="C1548" s="305"/>
      <c r="D1548" s="385"/>
      <c r="E1548" s="18"/>
      <c r="F1548" s="375">
        <f t="shared" si="77"/>
        <v>0</v>
      </c>
      <c r="G1548" s="1"/>
    </row>
    <row r="1549" spans="1:7" ht="14.1" customHeight="1">
      <c r="A1549" s="480">
        <v>5</v>
      </c>
      <c r="B1549" s="384"/>
      <c r="C1549" s="305"/>
      <c r="D1549" s="385"/>
      <c r="E1549" s="18"/>
      <c r="F1549" s="375">
        <f t="shared" si="77"/>
        <v>0</v>
      </c>
      <c r="G1549" s="1"/>
    </row>
    <row r="1550" spans="1:7" ht="14.1" customHeight="1">
      <c r="A1550" s="480">
        <v>6</v>
      </c>
      <c r="B1550" s="384"/>
      <c r="C1550" s="305"/>
      <c r="D1550" s="385"/>
      <c r="E1550" s="18"/>
      <c r="F1550" s="375">
        <f t="shared" si="77"/>
        <v>0</v>
      </c>
      <c r="G1550" s="1"/>
    </row>
    <row r="1551" spans="1:7" ht="14.1" customHeight="1">
      <c r="A1551" s="480">
        <v>7</v>
      </c>
      <c r="B1551" s="384"/>
      <c r="C1551" s="305"/>
      <c r="D1551" s="385"/>
      <c r="E1551" s="18"/>
      <c r="F1551" s="375">
        <f t="shared" si="77"/>
        <v>0</v>
      </c>
      <c r="G1551" s="1"/>
    </row>
    <row r="1552" spans="1:7" ht="14.1" customHeight="1">
      <c r="A1552" s="480">
        <v>8</v>
      </c>
      <c r="B1552" s="13"/>
      <c r="C1552" s="11"/>
      <c r="D1552" s="14"/>
      <c r="E1552" s="18"/>
      <c r="F1552" s="375">
        <f t="shared" si="77"/>
        <v>0</v>
      </c>
      <c r="G1552" s="1"/>
    </row>
    <row r="1553" spans="1:7" ht="14.1" customHeight="1">
      <c r="A1553" s="480">
        <v>9</v>
      </c>
      <c r="B1553" s="220"/>
      <c r="C1553" s="334"/>
      <c r="D1553" s="14"/>
      <c r="E1553" s="18"/>
      <c r="F1553" s="375">
        <f t="shared" si="77"/>
        <v>0</v>
      </c>
      <c r="G1553" s="1"/>
    </row>
    <row r="1554" spans="1:7" ht="14.1" customHeight="1">
      <c r="A1554" s="480">
        <v>10</v>
      </c>
      <c r="B1554" s="201"/>
      <c r="C1554" s="11"/>
      <c r="D1554" s="14"/>
      <c r="E1554" s="18"/>
      <c r="F1554" s="375">
        <f t="shared" si="77"/>
        <v>0</v>
      </c>
      <c r="G1554" s="1"/>
    </row>
    <row r="1555" spans="1:7" ht="14.1" customHeight="1">
      <c r="A1555" s="480">
        <v>11</v>
      </c>
      <c r="B1555" s="13"/>
      <c r="C1555" s="11"/>
      <c r="D1555" s="14"/>
      <c r="E1555" s="18"/>
      <c r="F1555" s="375">
        <f t="shared" si="77"/>
        <v>0</v>
      </c>
      <c r="G1555" s="1"/>
    </row>
    <row r="1556" spans="1:7" ht="14.1" customHeight="1" thickBot="1">
      <c r="A1556" s="480">
        <v>12</v>
      </c>
      <c r="B1556" s="13"/>
      <c r="C1556" s="11"/>
      <c r="D1556" s="11"/>
      <c r="E1556" s="18"/>
      <c r="F1556" s="375">
        <f t="shared" si="77"/>
        <v>0</v>
      </c>
      <c r="G1556" s="1"/>
    </row>
    <row r="1557" spans="1:7" ht="14.1" customHeight="1" thickBot="1">
      <c r="A1557" s="481"/>
      <c r="B1557" s="5"/>
      <c r="C1557" s="367"/>
      <c r="D1557" s="367"/>
      <c r="E1557" s="367" t="s">
        <v>151</v>
      </c>
      <c r="F1557" s="376">
        <f>SUM(F1545:F1556)</f>
        <v>20.12</v>
      </c>
      <c r="G1557" s="1"/>
    </row>
    <row r="1558" spans="1:7" ht="14.1" customHeight="1">
      <c r="A1558" s="482"/>
      <c r="B1558" s="333"/>
      <c r="C1558" s="336"/>
      <c r="D1558" s="336"/>
      <c r="E1558" s="336"/>
      <c r="F1558" s="336"/>
      <c r="G1558" s="1"/>
    </row>
    <row r="1559" spans="1:7" ht="14.1" customHeight="1">
      <c r="A1559" s="625" t="s">
        <v>152</v>
      </c>
      <c r="B1559" s="625"/>
      <c r="C1559" s="625"/>
      <c r="D1559" s="625"/>
      <c r="E1559" s="625"/>
      <c r="F1559" s="625"/>
      <c r="G1559" s="1"/>
    </row>
    <row r="1560" spans="1:7" ht="14.1" customHeight="1">
      <c r="A1560" s="482"/>
      <c r="B1560" s="333"/>
      <c r="C1560" s="336"/>
      <c r="D1560" s="336"/>
      <c r="E1560" s="336"/>
      <c r="F1560" s="367"/>
      <c r="G1560" s="1"/>
    </row>
    <row r="1561" spans="1:7" ht="14.1" customHeight="1">
      <c r="A1561" s="480">
        <v>13</v>
      </c>
      <c r="B1561" s="17" t="s">
        <v>153</v>
      </c>
      <c r="C1561" s="11" t="s">
        <v>154</v>
      </c>
      <c r="D1561" s="382"/>
      <c r="E1561" s="18">
        <f>'Mano de obra'!$J$20</f>
        <v>82.610000000000014</v>
      </c>
      <c r="F1561" s="375">
        <f>ROUND(D1561*E1561, 2)</f>
        <v>0</v>
      </c>
      <c r="G1561" s="1"/>
    </row>
    <row r="1562" spans="1:7" ht="14.1" customHeight="1">
      <c r="A1562" s="480">
        <v>14</v>
      </c>
      <c r="B1562" s="17" t="s">
        <v>155</v>
      </c>
      <c r="C1562" s="11" t="s">
        <v>154</v>
      </c>
      <c r="D1562" s="382">
        <v>0.5</v>
      </c>
      <c r="E1562" s="18">
        <f>'Mano de obra'!$J$21</f>
        <v>70.38</v>
      </c>
      <c r="F1562" s="375">
        <f t="shared" ref="F1562:F1565" si="78">ROUND(D1562*E1562, 2)</f>
        <v>35.19</v>
      </c>
      <c r="G1562" s="1"/>
    </row>
    <row r="1563" spans="1:7" ht="14.1" customHeight="1">
      <c r="A1563" s="480">
        <v>15</v>
      </c>
      <c r="B1563" s="17" t="s">
        <v>156</v>
      </c>
      <c r="C1563" s="11" t="s">
        <v>154</v>
      </c>
      <c r="D1563" s="382"/>
      <c r="E1563" s="18">
        <f>'Mano de obra'!$J$22</f>
        <v>64.78</v>
      </c>
      <c r="F1563" s="375">
        <f t="shared" si="78"/>
        <v>0</v>
      </c>
      <c r="G1563" s="1"/>
    </row>
    <row r="1564" spans="1:7" ht="14.1" customHeight="1">
      <c r="A1564" s="480">
        <v>16</v>
      </c>
      <c r="B1564" s="17" t="s">
        <v>157</v>
      </c>
      <c r="C1564" s="11" t="s">
        <v>154</v>
      </c>
      <c r="D1564" s="382">
        <v>0.4</v>
      </c>
      <c r="E1564" s="18">
        <f>'Mano de obra'!$J$23</f>
        <v>59.800000000000004</v>
      </c>
      <c r="F1564" s="375">
        <f t="shared" si="78"/>
        <v>23.92</v>
      </c>
      <c r="G1564" s="1"/>
    </row>
    <row r="1565" spans="1:7" ht="14.1" customHeight="1" thickBot="1">
      <c r="A1565" s="480">
        <v>17</v>
      </c>
      <c r="B1565" s="13"/>
      <c r="C1565" s="11"/>
      <c r="D1565" s="11"/>
      <c r="E1565" s="18"/>
      <c r="F1565" s="375">
        <f t="shared" si="78"/>
        <v>0</v>
      </c>
      <c r="G1565" s="1"/>
    </row>
    <row r="1566" spans="1:7" ht="14.1" customHeight="1" thickBot="1">
      <c r="A1566" s="483"/>
      <c r="B1566" s="333"/>
      <c r="C1566" s="336"/>
      <c r="D1566" s="336"/>
      <c r="E1566" s="367" t="s">
        <v>158</v>
      </c>
      <c r="F1566" s="376">
        <f>SUM(F1561:F1565)</f>
        <v>59.11</v>
      </c>
      <c r="G1566" s="1"/>
    </row>
    <row r="1567" spans="1:7" ht="14.1" customHeight="1" thickBot="1">
      <c r="A1567" s="484"/>
      <c r="B1567" s="333"/>
      <c r="C1567" s="336"/>
      <c r="D1567" s="336"/>
      <c r="E1567" s="336"/>
      <c r="F1567" s="367"/>
      <c r="G1567" s="1"/>
    </row>
    <row r="1568" spans="1:7" ht="14.1" customHeight="1" thickBot="1">
      <c r="A1568" s="480"/>
      <c r="B1568" s="142" t="s">
        <v>273</v>
      </c>
      <c r="C1568" s="369"/>
      <c r="D1568" s="369"/>
      <c r="E1568" s="377" t="s">
        <v>159</v>
      </c>
      <c r="F1568" s="376">
        <f>SUM(F1557+F1566)</f>
        <v>79.23</v>
      </c>
      <c r="G1568" s="1"/>
    </row>
    <row r="1569" spans="1:7" ht="15" customHeight="1">
      <c r="A1569" s="626"/>
      <c r="B1569" s="627" t="s">
        <v>274</v>
      </c>
      <c r="C1569" s="628"/>
      <c r="D1569" s="628"/>
      <c r="E1569" s="629" t="s">
        <v>275</v>
      </c>
      <c r="F1569" s="631">
        <f>ROUND(F1568*'Coef. resumen'!$F$23, 2)</f>
        <v>117.42</v>
      </c>
    </row>
    <row r="1570" spans="1:7" ht="15" customHeight="1" thickBot="1">
      <c r="A1570" s="626"/>
      <c r="B1570" s="627"/>
      <c r="C1570" s="628"/>
      <c r="D1570" s="628"/>
      <c r="E1570" s="630"/>
      <c r="F1570" s="632"/>
    </row>
    <row r="1571" spans="1:7" ht="15">
      <c r="A1571" s="471"/>
      <c r="B1571" s="2"/>
      <c r="C1571" s="337"/>
      <c r="D1571" s="337"/>
      <c r="E1571" s="337"/>
      <c r="F1571" s="337"/>
    </row>
    <row r="1572" spans="1:7" ht="15">
      <c r="A1572" s="471"/>
      <c r="B1572" s="2"/>
      <c r="C1572" s="337"/>
      <c r="D1572" s="337"/>
      <c r="E1572" s="337"/>
      <c r="F1572" s="337"/>
    </row>
    <row r="1573" spans="1:7" ht="15">
      <c r="A1573" s="471"/>
      <c r="B1573" s="194" t="str">
        <f>'Coef. resumen'!$B$30</f>
        <v>Julián Antonelli</v>
      </c>
      <c r="C1573" s="524"/>
      <c r="D1573" s="524"/>
      <c r="E1573" s="194" t="str">
        <f>'Coef. resumen'!$E$30</f>
        <v>Marcelo A. Pasquini</v>
      </c>
      <c r="F1573" s="337"/>
    </row>
    <row r="1574" spans="1:7" ht="15">
      <c r="A1574" s="471"/>
      <c r="B1574" s="194" t="str">
        <f>'Coef. resumen'!$B$31</f>
        <v>Ing. Civil M.P. 2161</v>
      </c>
      <c r="C1574" s="524"/>
      <c r="D1574" s="524"/>
      <c r="E1574" s="194" t="str">
        <f>'Coef. resumen'!$E$31</f>
        <v>Socio Gerente</v>
      </c>
      <c r="F1574" s="337"/>
    </row>
    <row r="1575" spans="1:7" ht="15">
      <c r="A1575" s="471"/>
      <c r="B1575" s="194" t="str">
        <f>'Coef. resumen'!$B$32</f>
        <v>Representante Técnico</v>
      </c>
      <c r="C1575" s="524"/>
      <c r="D1575" s="19"/>
      <c r="E1575" s="194" t="str">
        <f>'Coef. resumen'!$E$32</f>
        <v>Pasquini Construcciones SRL</v>
      </c>
      <c r="F1575" s="337"/>
    </row>
    <row r="1576" spans="1:7" ht="15">
      <c r="A1576" s="471"/>
      <c r="B1576" s="194"/>
      <c r="C1576" s="337"/>
      <c r="D1576" s="19"/>
      <c r="E1576" s="194"/>
      <c r="F1576" s="337"/>
    </row>
    <row r="1577" spans="1:7" ht="14.1" customHeight="1">
      <c r="A1577" s="477" t="s">
        <v>142</v>
      </c>
      <c r="B1577" s="613" t="str">
        <f>Presupuesto!B66</f>
        <v xml:space="preserve">Impermeabilización superior de losa </v>
      </c>
      <c r="C1577" s="614"/>
      <c r="D1577" s="615"/>
      <c r="E1577" s="367" t="s">
        <v>143</v>
      </c>
      <c r="F1577" s="30" t="str">
        <f>Presupuesto!C66</f>
        <v>m²</v>
      </c>
      <c r="G1577" s="1"/>
    </row>
    <row r="1578" spans="1:7" ht="14.1" customHeight="1">
      <c r="A1578" s="622" t="str">
        <f>Presupuesto!A66</f>
        <v>1.8.7</v>
      </c>
      <c r="B1578" s="616"/>
      <c r="C1578" s="617"/>
      <c r="D1578" s="618"/>
      <c r="E1578" s="367"/>
      <c r="F1578" s="367"/>
      <c r="G1578" s="1"/>
    </row>
    <row r="1579" spans="1:7" ht="14.1" customHeight="1">
      <c r="A1579" s="622"/>
      <c r="B1579" s="616"/>
      <c r="C1579" s="617"/>
      <c r="D1579" s="618"/>
      <c r="E1579" s="367"/>
      <c r="F1579" s="367"/>
      <c r="G1579" s="1"/>
    </row>
    <row r="1580" spans="1:7" ht="14.1" customHeight="1">
      <c r="A1580" s="623"/>
      <c r="B1580" s="619"/>
      <c r="C1580" s="620"/>
      <c r="D1580" s="621"/>
      <c r="E1580" s="367"/>
      <c r="F1580" s="367"/>
      <c r="G1580" s="1"/>
    </row>
    <row r="1581" spans="1:7" ht="14.1" customHeight="1">
      <c r="A1581" s="478"/>
      <c r="B1581" s="29"/>
      <c r="C1581" s="368"/>
      <c r="D1581" s="368"/>
      <c r="E1581" s="365"/>
      <c r="F1581" s="365"/>
      <c r="G1581" s="1"/>
    </row>
    <row r="1582" spans="1:7" ht="14.1" customHeight="1">
      <c r="A1582" s="624" t="s">
        <v>144</v>
      </c>
      <c r="B1582" s="624"/>
      <c r="C1582" s="624"/>
      <c r="D1582" s="624"/>
      <c r="E1582" s="624"/>
      <c r="F1582" s="624"/>
      <c r="G1582" s="1"/>
    </row>
    <row r="1583" spans="1:7" ht="14.1" customHeight="1">
      <c r="A1583" s="479"/>
      <c r="B1583" s="10"/>
      <c r="C1583" s="335"/>
      <c r="D1583" s="335"/>
      <c r="E1583" s="335"/>
      <c r="F1583" s="335"/>
      <c r="G1583" s="1"/>
    </row>
    <row r="1584" spans="1:7" ht="15.95" customHeight="1">
      <c r="A1584" s="480" t="s">
        <v>145</v>
      </c>
      <c r="B1584" s="11" t="s">
        <v>146</v>
      </c>
      <c r="C1584" s="11" t="s">
        <v>147</v>
      </c>
      <c r="D1584" s="11" t="s">
        <v>148</v>
      </c>
      <c r="E1584" s="12" t="s">
        <v>149</v>
      </c>
      <c r="F1584" s="11" t="s">
        <v>150</v>
      </c>
      <c r="G1584" s="1"/>
    </row>
    <row r="1585" spans="1:7" ht="14.1" customHeight="1">
      <c r="A1585" s="480">
        <v>1</v>
      </c>
      <c r="B1585" s="384" t="s">
        <v>1079</v>
      </c>
      <c r="C1585" s="305" t="s">
        <v>55</v>
      </c>
      <c r="D1585" s="385">
        <v>1.1000000000000001</v>
      </c>
      <c r="E1585" s="18">
        <v>25</v>
      </c>
      <c r="F1585" s="375">
        <f>ROUND(D1585*E1585, 2)</f>
        <v>27.5</v>
      </c>
      <c r="G1585" s="1"/>
    </row>
    <row r="1586" spans="1:7" ht="14.1" customHeight="1">
      <c r="A1586" s="480">
        <v>2</v>
      </c>
      <c r="B1586" s="383"/>
      <c r="C1586" s="305"/>
      <c r="D1586" s="385"/>
      <c r="E1586" s="18"/>
      <c r="F1586" s="375">
        <f t="shared" ref="F1586:F1596" si="79">ROUND(D1586*E1586, 2)</f>
        <v>0</v>
      </c>
      <c r="G1586" s="1"/>
    </row>
    <row r="1587" spans="1:7" ht="14.1" customHeight="1">
      <c r="A1587" s="480">
        <v>3</v>
      </c>
      <c r="B1587" s="384"/>
      <c r="C1587" s="305"/>
      <c r="D1587" s="385"/>
      <c r="E1587" s="18"/>
      <c r="F1587" s="375">
        <f t="shared" si="79"/>
        <v>0</v>
      </c>
      <c r="G1587" s="1"/>
    </row>
    <row r="1588" spans="1:7" ht="14.1" customHeight="1">
      <c r="A1588" s="480">
        <v>4</v>
      </c>
      <c r="B1588" s="384"/>
      <c r="C1588" s="305"/>
      <c r="D1588" s="385"/>
      <c r="E1588" s="18"/>
      <c r="F1588" s="375">
        <f t="shared" si="79"/>
        <v>0</v>
      </c>
      <c r="G1588" s="1"/>
    </row>
    <row r="1589" spans="1:7" ht="14.1" customHeight="1">
      <c r="A1589" s="480">
        <v>5</v>
      </c>
      <c r="B1589" s="384"/>
      <c r="C1589" s="305"/>
      <c r="D1589" s="385"/>
      <c r="E1589" s="18"/>
      <c r="F1589" s="375">
        <f t="shared" si="79"/>
        <v>0</v>
      </c>
      <c r="G1589" s="1"/>
    </row>
    <row r="1590" spans="1:7" ht="14.1" customHeight="1">
      <c r="A1590" s="480">
        <v>6</v>
      </c>
      <c r="B1590" s="384"/>
      <c r="C1590" s="305"/>
      <c r="D1590" s="385"/>
      <c r="E1590" s="18"/>
      <c r="F1590" s="375">
        <f t="shared" si="79"/>
        <v>0</v>
      </c>
      <c r="G1590" s="1"/>
    </row>
    <row r="1591" spans="1:7" ht="14.1" customHeight="1">
      <c r="A1591" s="480">
        <v>7</v>
      </c>
      <c r="B1591" s="384"/>
      <c r="C1591" s="305"/>
      <c r="D1591" s="385"/>
      <c r="E1591" s="18"/>
      <c r="F1591" s="375">
        <f t="shared" si="79"/>
        <v>0</v>
      </c>
      <c r="G1591" s="1"/>
    </row>
    <row r="1592" spans="1:7" ht="14.1" customHeight="1">
      <c r="A1592" s="480">
        <v>8</v>
      </c>
      <c r="B1592" s="13"/>
      <c r="C1592" s="11"/>
      <c r="D1592" s="14"/>
      <c r="E1592" s="18"/>
      <c r="F1592" s="375">
        <f t="shared" si="79"/>
        <v>0</v>
      </c>
      <c r="G1592" s="1"/>
    </row>
    <row r="1593" spans="1:7" ht="14.1" customHeight="1">
      <c r="A1593" s="480">
        <v>9</v>
      </c>
      <c r="B1593" s="220"/>
      <c r="C1593" s="334"/>
      <c r="D1593" s="14"/>
      <c r="E1593" s="18"/>
      <c r="F1593" s="375">
        <f t="shared" si="79"/>
        <v>0</v>
      </c>
      <c r="G1593" s="1"/>
    </row>
    <row r="1594" spans="1:7" ht="14.1" customHeight="1">
      <c r="A1594" s="480">
        <v>10</v>
      </c>
      <c r="B1594" s="201"/>
      <c r="C1594" s="11"/>
      <c r="D1594" s="14"/>
      <c r="E1594" s="18"/>
      <c r="F1594" s="375">
        <f t="shared" si="79"/>
        <v>0</v>
      </c>
      <c r="G1594" s="1"/>
    </row>
    <row r="1595" spans="1:7" ht="14.1" customHeight="1">
      <c r="A1595" s="480">
        <v>11</v>
      </c>
      <c r="B1595" s="13"/>
      <c r="C1595" s="11"/>
      <c r="D1595" s="14"/>
      <c r="E1595" s="18"/>
      <c r="F1595" s="375">
        <f t="shared" si="79"/>
        <v>0</v>
      </c>
      <c r="G1595" s="1"/>
    </row>
    <row r="1596" spans="1:7" ht="14.1" customHeight="1" thickBot="1">
      <c r="A1596" s="480">
        <v>12</v>
      </c>
      <c r="B1596" s="13"/>
      <c r="C1596" s="11"/>
      <c r="D1596" s="11"/>
      <c r="E1596" s="18"/>
      <c r="F1596" s="375">
        <f t="shared" si="79"/>
        <v>0</v>
      </c>
      <c r="G1596" s="1"/>
    </row>
    <row r="1597" spans="1:7" ht="14.1" customHeight="1" thickBot="1">
      <c r="A1597" s="481"/>
      <c r="B1597" s="5"/>
      <c r="C1597" s="367"/>
      <c r="D1597" s="367"/>
      <c r="E1597" s="367" t="s">
        <v>151</v>
      </c>
      <c r="F1597" s="376">
        <f>SUM(F1585:F1596)</f>
        <v>27.5</v>
      </c>
      <c r="G1597" s="1"/>
    </row>
    <row r="1598" spans="1:7" ht="14.1" customHeight="1">
      <c r="A1598" s="482"/>
      <c r="B1598" s="333"/>
      <c r="C1598" s="336"/>
      <c r="D1598" s="336"/>
      <c r="E1598" s="336"/>
      <c r="F1598" s="336"/>
      <c r="G1598" s="1"/>
    </row>
    <row r="1599" spans="1:7" ht="14.1" customHeight="1">
      <c r="A1599" s="625" t="s">
        <v>152</v>
      </c>
      <c r="B1599" s="625"/>
      <c r="C1599" s="625"/>
      <c r="D1599" s="625"/>
      <c r="E1599" s="625"/>
      <c r="F1599" s="625"/>
      <c r="G1599" s="1"/>
    </row>
    <row r="1600" spans="1:7" ht="14.1" customHeight="1">
      <c r="A1600" s="482"/>
      <c r="B1600" s="333"/>
      <c r="C1600" s="336"/>
      <c r="D1600" s="336"/>
      <c r="E1600" s="336"/>
      <c r="F1600" s="367"/>
      <c r="G1600" s="1"/>
    </row>
    <row r="1601" spans="1:7" ht="14.1" customHeight="1">
      <c r="A1601" s="480">
        <v>13</v>
      </c>
      <c r="B1601" s="17" t="s">
        <v>153</v>
      </c>
      <c r="C1601" s="11" t="s">
        <v>154</v>
      </c>
      <c r="D1601" s="382"/>
      <c r="E1601" s="18">
        <f>'Mano de obra'!$J$20</f>
        <v>82.610000000000014</v>
      </c>
      <c r="F1601" s="375">
        <f>ROUND(D1601*E1601, 2)</f>
        <v>0</v>
      </c>
      <c r="G1601" s="1"/>
    </row>
    <row r="1602" spans="1:7" ht="14.1" customHeight="1">
      <c r="A1602" s="480">
        <v>14</v>
      </c>
      <c r="B1602" s="17" t="s">
        <v>155</v>
      </c>
      <c r="C1602" s="11" t="s">
        <v>154</v>
      </c>
      <c r="D1602" s="382">
        <v>0.4</v>
      </c>
      <c r="E1602" s="18">
        <f>'Mano de obra'!$J$21</f>
        <v>70.38</v>
      </c>
      <c r="F1602" s="375">
        <f t="shared" ref="F1602:F1605" si="80">ROUND(D1602*E1602, 2)</f>
        <v>28.15</v>
      </c>
      <c r="G1602" s="1"/>
    </row>
    <row r="1603" spans="1:7" ht="14.1" customHeight="1">
      <c r="A1603" s="480">
        <v>15</v>
      </c>
      <c r="B1603" s="17" t="s">
        <v>156</v>
      </c>
      <c r="C1603" s="11" t="s">
        <v>154</v>
      </c>
      <c r="D1603" s="382"/>
      <c r="E1603" s="18">
        <f>'Mano de obra'!$J$22</f>
        <v>64.78</v>
      </c>
      <c r="F1603" s="375">
        <f t="shared" si="80"/>
        <v>0</v>
      </c>
      <c r="G1603" s="1"/>
    </row>
    <row r="1604" spans="1:7" ht="14.1" customHeight="1">
      <c r="A1604" s="480">
        <v>16</v>
      </c>
      <c r="B1604" s="17" t="s">
        <v>157</v>
      </c>
      <c r="C1604" s="11" t="s">
        <v>154</v>
      </c>
      <c r="D1604" s="382">
        <v>0.2</v>
      </c>
      <c r="E1604" s="18">
        <f>'Mano de obra'!$J$23</f>
        <v>59.800000000000004</v>
      </c>
      <c r="F1604" s="375">
        <f t="shared" si="80"/>
        <v>11.96</v>
      </c>
      <c r="G1604" s="1"/>
    </row>
    <row r="1605" spans="1:7" ht="14.1" customHeight="1" thickBot="1">
      <c r="A1605" s="480">
        <v>17</v>
      </c>
      <c r="B1605" s="13"/>
      <c r="C1605" s="11"/>
      <c r="D1605" s="11"/>
      <c r="E1605" s="18"/>
      <c r="F1605" s="375">
        <f t="shared" si="80"/>
        <v>0</v>
      </c>
      <c r="G1605" s="1"/>
    </row>
    <row r="1606" spans="1:7" ht="14.1" customHeight="1" thickBot="1">
      <c r="A1606" s="483"/>
      <c r="B1606" s="333"/>
      <c r="C1606" s="336"/>
      <c r="D1606" s="336"/>
      <c r="E1606" s="367" t="s">
        <v>158</v>
      </c>
      <c r="F1606" s="376">
        <f>SUM(F1601:F1605)</f>
        <v>40.11</v>
      </c>
      <c r="G1606" s="1"/>
    </row>
    <row r="1607" spans="1:7" ht="14.1" customHeight="1" thickBot="1">
      <c r="A1607" s="484"/>
      <c r="B1607" s="333"/>
      <c r="C1607" s="336"/>
      <c r="D1607" s="336"/>
      <c r="E1607" s="336"/>
      <c r="F1607" s="367"/>
      <c r="G1607" s="1"/>
    </row>
    <row r="1608" spans="1:7" ht="14.1" customHeight="1" thickBot="1">
      <c r="A1608" s="480"/>
      <c r="B1608" s="142" t="s">
        <v>273</v>
      </c>
      <c r="C1608" s="369"/>
      <c r="D1608" s="369"/>
      <c r="E1608" s="377" t="s">
        <v>159</v>
      </c>
      <c r="F1608" s="376">
        <f>SUM(F1597+F1606)</f>
        <v>67.61</v>
      </c>
      <c r="G1608" s="1"/>
    </row>
    <row r="1609" spans="1:7" ht="15" customHeight="1">
      <c r="A1609" s="626"/>
      <c r="B1609" s="627" t="s">
        <v>274</v>
      </c>
      <c r="C1609" s="628"/>
      <c r="D1609" s="628"/>
      <c r="E1609" s="629" t="s">
        <v>275</v>
      </c>
      <c r="F1609" s="631">
        <f>ROUND(F1608*'Coef. resumen'!$F$23, 2)</f>
        <v>100.2</v>
      </c>
    </row>
    <row r="1610" spans="1:7" ht="15" customHeight="1" thickBot="1">
      <c r="A1610" s="626"/>
      <c r="B1610" s="627"/>
      <c r="C1610" s="628"/>
      <c r="D1610" s="628"/>
      <c r="E1610" s="630"/>
      <c r="F1610" s="632"/>
    </row>
    <row r="1611" spans="1:7" ht="15">
      <c r="A1611" s="471"/>
      <c r="B1611" s="2"/>
      <c r="C1611" s="337"/>
      <c r="D1611" s="337"/>
      <c r="E1611" s="337"/>
      <c r="F1611" s="337"/>
    </row>
    <row r="1612" spans="1:7" ht="15">
      <c r="A1612" s="471"/>
      <c r="B1612" s="2"/>
      <c r="C1612" s="337"/>
      <c r="D1612" s="337"/>
      <c r="E1612" s="337"/>
      <c r="F1612" s="337"/>
    </row>
    <row r="1613" spans="1:7" ht="15">
      <c r="A1613" s="471"/>
      <c r="B1613" s="194" t="str">
        <f>'Coef. resumen'!$B$30</f>
        <v>Julián Antonelli</v>
      </c>
      <c r="C1613" s="524"/>
      <c r="D1613" s="524"/>
      <c r="E1613" s="194" t="str">
        <f>'Coef. resumen'!$E$30</f>
        <v>Marcelo A. Pasquini</v>
      </c>
      <c r="F1613" s="337"/>
    </row>
    <row r="1614" spans="1:7" ht="15">
      <c r="A1614" s="471"/>
      <c r="B1614" s="194" t="str">
        <f>'Coef. resumen'!$B$31</f>
        <v>Ing. Civil M.P. 2161</v>
      </c>
      <c r="C1614" s="524"/>
      <c r="D1614" s="524"/>
      <c r="E1614" s="194" t="str">
        <f>'Coef. resumen'!$E$31</f>
        <v>Socio Gerente</v>
      </c>
      <c r="F1614" s="337"/>
    </row>
    <row r="1615" spans="1:7" ht="15">
      <c r="A1615" s="471"/>
      <c r="B1615" s="194" t="str">
        <f>'Coef. resumen'!$B$32</f>
        <v>Representante Técnico</v>
      </c>
      <c r="C1615" s="524"/>
      <c r="D1615" s="19"/>
      <c r="E1615" s="194" t="str">
        <f>'Coef. resumen'!$E$32</f>
        <v>Pasquini Construcciones SRL</v>
      </c>
      <c r="F1615" s="337"/>
    </row>
    <row r="1616" spans="1:7" ht="15">
      <c r="A1616" s="471"/>
      <c r="B1616" s="194"/>
      <c r="C1616" s="337"/>
      <c r="D1616" s="19"/>
      <c r="E1616" s="194"/>
      <c r="F1616" s="337"/>
    </row>
    <row r="1617" spans="1:7" ht="14.1" customHeight="1">
      <c r="A1617" s="477" t="s">
        <v>142</v>
      </c>
      <c r="B1617" s="613" t="str">
        <f>Presupuesto!B67</f>
        <v>Tapas de acceso, ventilaciones y escalera externa e interna</v>
      </c>
      <c r="C1617" s="614"/>
      <c r="D1617" s="615"/>
      <c r="E1617" s="367" t="s">
        <v>143</v>
      </c>
      <c r="F1617" s="30" t="str">
        <f>Presupuesto!C67</f>
        <v>Gl</v>
      </c>
      <c r="G1617" s="1"/>
    </row>
    <row r="1618" spans="1:7" ht="14.1" customHeight="1">
      <c r="A1618" s="622" t="str">
        <f>Presupuesto!A67</f>
        <v>1.8.8</v>
      </c>
      <c r="B1618" s="616"/>
      <c r="C1618" s="617"/>
      <c r="D1618" s="618"/>
      <c r="E1618" s="367"/>
      <c r="F1618" s="367"/>
      <c r="G1618" s="1"/>
    </row>
    <row r="1619" spans="1:7" ht="14.1" customHeight="1">
      <c r="A1619" s="622"/>
      <c r="B1619" s="616"/>
      <c r="C1619" s="617"/>
      <c r="D1619" s="618"/>
      <c r="E1619" s="367"/>
      <c r="F1619" s="367"/>
      <c r="G1619" s="1"/>
    </row>
    <row r="1620" spans="1:7" ht="14.1" customHeight="1">
      <c r="A1620" s="623"/>
      <c r="B1620" s="619"/>
      <c r="C1620" s="620"/>
      <c r="D1620" s="621"/>
      <c r="E1620" s="367"/>
      <c r="F1620" s="367"/>
      <c r="G1620" s="1"/>
    </row>
    <row r="1621" spans="1:7" ht="14.1" customHeight="1">
      <c r="A1621" s="478"/>
      <c r="B1621" s="29"/>
      <c r="C1621" s="368"/>
      <c r="D1621" s="368"/>
      <c r="E1621" s="365"/>
      <c r="F1621" s="365"/>
      <c r="G1621" s="1"/>
    </row>
    <row r="1622" spans="1:7" ht="14.1" customHeight="1">
      <c r="A1622" s="624" t="s">
        <v>144</v>
      </c>
      <c r="B1622" s="624"/>
      <c r="C1622" s="624"/>
      <c r="D1622" s="624"/>
      <c r="E1622" s="624"/>
      <c r="F1622" s="624"/>
      <c r="G1622" s="1"/>
    </row>
    <row r="1623" spans="1:7" ht="14.1" customHeight="1">
      <c r="A1623" s="479"/>
      <c r="B1623" s="10"/>
      <c r="C1623" s="335"/>
      <c r="D1623" s="335"/>
      <c r="E1623" s="335"/>
      <c r="F1623" s="335"/>
      <c r="G1623" s="1"/>
    </row>
    <row r="1624" spans="1:7" ht="15.95" customHeight="1">
      <c r="A1624" s="480" t="s">
        <v>145</v>
      </c>
      <c r="B1624" s="11" t="s">
        <v>146</v>
      </c>
      <c r="C1624" s="11" t="s">
        <v>147</v>
      </c>
      <c r="D1624" s="11" t="s">
        <v>148</v>
      </c>
      <c r="E1624" s="12" t="s">
        <v>149</v>
      </c>
      <c r="F1624" s="11" t="s">
        <v>150</v>
      </c>
      <c r="G1624" s="1"/>
    </row>
    <row r="1625" spans="1:7" ht="14.1" customHeight="1">
      <c r="A1625" s="480">
        <v>1</v>
      </c>
      <c r="B1625" s="384" t="s">
        <v>1080</v>
      </c>
      <c r="C1625" s="305" t="s">
        <v>362</v>
      </c>
      <c r="D1625" s="385">
        <v>550</v>
      </c>
      <c r="E1625" s="18">
        <f>'MAT 31-10-2013'!R$41*1.2</f>
        <v>13.344333333333333</v>
      </c>
      <c r="F1625" s="375">
        <f>ROUND(D1625*E1625, 2)</f>
        <v>7339.38</v>
      </c>
      <c r="G1625" s="1"/>
    </row>
    <row r="1626" spans="1:7" ht="14.1" customHeight="1">
      <c r="A1626" s="480">
        <v>2</v>
      </c>
      <c r="B1626" s="387" t="s">
        <v>1081</v>
      </c>
      <c r="C1626" s="305" t="s">
        <v>4</v>
      </c>
      <c r="D1626" s="385">
        <v>80</v>
      </c>
      <c r="E1626" s="18">
        <f>'MAT 31-10-2013'!R$42</f>
        <v>52.283950617283949</v>
      </c>
      <c r="F1626" s="375">
        <f t="shared" ref="F1626:F1636" si="81">ROUND(D1626*E1626, 2)</f>
        <v>4182.72</v>
      </c>
      <c r="G1626" s="1"/>
    </row>
    <row r="1627" spans="1:7" ht="14.1" customHeight="1">
      <c r="A1627" s="480">
        <v>3</v>
      </c>
      <c r="B1627" s="384" t="s">
        <v>1082</v>
      </c>
      <c r="C1627" s="305" t="s">
        <v>362</v>
      </c>
      <c r="D1627" s="385">
        <v>30</v>
      </c>
      <c r="E1627" s="18">
        <f>'MAT 31-10-2013'!R$46</f>
        <v>55.723611111111111</v>
      </c>
      <c r="F1627" s="375">
        <f t="shared" si="81"/>
        <v>1671.71</v>
      </c>
      <c r="G1627" s="1"/>
    </row>
    <row r="1628" spans="1:7" ht="14.1" customHeight="1">
      <c r="A1628" s="480">
        <v>4</v>
      </c>
      <c r="B1628" s="384" t="s">
        <v>1083</v>
      </c>
      <c r="C1628" s="305" t="s">
        <v>1077</v>
      </c>
      <c r="D1628" s="385">
        <v>30</v>
      </c>
      <c r="E1628" s="18">
        <f>'MAT 31-10-2013'!R$141*1.2/20</f>
        <v>39.402439999999999</v>
      </c>
      <c r="F1628" s="375">
        <f t="shared" si="81"/>
        <v>1182.07</v>
      </c>
      <c r="G1628" s="1"/>
    </row>
    <row r="1629" spans="1:7" ht="14.1" customHeight="1">
      <c r="A1629" s="480">
        <v>5</v>
      </c>
      <c r="B1629" s="384" t="s">
        <v>1084</v>
      </c>
      <c r="C1629" s="305" t="s">
        <v>1077</v>
      </c>
      <c r="D1629" s="385">
        <v>40</v>
      </c>
      <c r="E1629" s="18">
        <f>'MAT 31-10-2013'!R$138*1.2/20</f>
        <v>39.852761666666666</v>
      </c>
      <c r="F1629" s="375">
        <f t="shared" si="81"/>
        <v>1594.11</v>
      </c>
      <c r="G1629" s="1"/>
    </row>
    <row r="1630" spans="1:7" ht="14.1" customHeight="1">
      <c r="A1630" s="480">
        <v>6</v>
      </c>
      <c r="B1630" s="384"/>
      <c r="C1630" s="305"/>
      <c r="D1630" s="385"/>
      <c r="E1630" s="18"/>
      <c r="F1630" s="375">
        <f t="shared" si="81"/>
        <v>0</v>
      </c>
      <c r="G1630" s="1"/>
    </row>
    <row r="1631" spans="1:7" ht="14.1" customHeight="1">
      <c r="A1631" s="480">
        <v>7</v>
      </c>
      <c r="B1631" s="384"/>
      <c r="C1631" s="305"/>
      <c r="D1631" s="385"/>
      <c r="E1631" s="18"/>
      <c r="F1631" s="375">
        <f t="shared" si="81"/>
        <v>0</v>
      </c>
      <c r="G1631" s="1"/>
    </row>
    <row r="1632" spans="1:7" ht="14.1" customHeight="1">
      <c r="A1632" s="480">
        <v>8</v>
      </c>
      <c r="B1632" s="13"/>
      <c r="C1632" s="11"/>
      <c r="D1632" s="14"/>
      <c r="E1632" s="18"/>
      <c r="F1632" s="375">
        <f t="shared" si="81"/>
        <v>0</v>
      </c>
      <c r="G1632" s="1"/>
    </row>
    <row r="1633" spans="1:7" ht="14.1" customHeight="1">
      <c r="A1633" s="480">
        <v>9</v>
      </c>
      <c r="B1633" s="220"/>
      <c r="C1633" s="334"/>
      <c r="D1633" s="14"/>
      <c r="E1633" s="18"/>
      <c r="F1633" s="375">
        <f t="shared" si="81"/>
        <v>0</v>
      </c>
      <c r="G1633" s="1"/>
    </row>
    <row r="1634" spans="1:7" ht="14.1" customHeight="1">
      <c r="A1634" s="480">
        <v>10</v>
      </c>
      <c r="B1634" s="201"/>
      <c r="C1634" s="11"/>
      <c r="D1634" s="14"/>
      <c r="E1634" s="18"/>
      <c r="F1634" s="375">
        <f t="shared" si="81"/>
        <v>0</v>
      </c>
      <c r="G1634" s="1"/>
    </row>
    <row r="1635" spans="1:7" ht="14.1" customHeight="1">
      <c r="A1635" s="480">
        <v>11</v>
      </c>
      <c r="B1635" s="13"/>
      <c r="C1635" s="11"/>
      <c r="D1635" s="14"/>
      <c r="E1635" s="18"/>
      <c r="F1635" s="375">
        <f t="shared" si="81"/>
        <v>0</v>
      </c>
      <c r="G1635" s="1"/>
    </row>
    <row r="1636" spans="1:7" ht="14.1" customHeight="1" thickBot="1">
      <c r="A1636" s="480">
        <v>12</v>
      </c>
      <c r="B1636" s="13"/>
      <c r="C1636" s="11"/>
      <c r="D1636" s="11"/>
      <c r="E1636" s="18"/>
      <c r="F1636" s="375">
        <f t="shared" si="81"/>
        <v>0</v>
      </c>
      <c r="G1636" s="1"/>
    </row>
    <row r="1637" spans="1:7" ht="14.1" customHeight="1" thickBot="1">
      <c r="A1637" s="481"/>
      <c r="B1637" s="5"/>
      <c r="C1637" s="367"/>
      <c r="D1637" s="367"/>
      <c r="E1637" s="367" t="s">
        <v>151</v>
      </c>
      <c r="F1637" s="376">
        <f>SUM(F1625:F1636)</f>
        <v>15969.990000000002</v>
      </c>
      <c r="G1637" s="1"/>
    </row>
    <row r="1638" spans="1:7" ht="14.1" customHeight="1">
      <c r="A1638" s="482"/>
      <c r="B1638" s="333"/>
      <c r="C1638" s="336"/>
      <c r="D1638" s="336"/>
      <c r="E1638" s="336"/>
      <c r="F1638" s="336"/>
      <c r="G1638" s="1"/>
    </row>
    <row r="1639" spans="1:7" ht="14.1" customHeight="1">
      <c r="A1639" s="625" t="s">
        <v>152</v>
      </c>
      <c r="B1639" s="625"/>
      <c r="C1639" s="625"/>
      <c r="D1639" s="625"/>
      <c r="E1639" s="625"/>
      <c r="F1639" s="625"/>
      <c r="G1639" s="1"/>
    </row>
    <row r="1640" spans="1:7" ht="14.1" customHeight="1">
      <c r="A1640" s="482"/>
      <c r="B1640" s="333"/>
      <c r="C1640" s="336"/>
      <c r="D1640" s="336"/>
      <c r="E1640" s="336"/>
      <c r="F1640" s="367"/>
      <c r="G1640" s="1"/>
    </row>
    <row r="1641" spans="1:7" ht="14.1" customHeight="1">
      <c r="A1641" s="480">
        <v>13</v>
      </c>
      <c r="B1641" s="17" t="s">
        <v>153</v>
      </c>
      <c r="C1641" s="11" t="s">
        <v>154</v>
      </c>
      <c r="D1641" s="382">
        <v>40</v>
      </c>
      <c r="E1641" s="18">
        <f>'Mano de obra'!$J$20</f>
        <v>82.610000000000014</v>
      </c>
      <c r="F1641" s="375">
        <f>ROUND(D1641*E1641, 2)</f>
        <v>3304.4</v>
      </c>
      <c r="G1641" s="1"/>
    </row>
    <row r="1642" spans="1:7" ht="14.1" customHeight="1">
      <c r="A1642" s="480">
        <v>14</v>
      </c>
      <c r="B1642" s="17" t="s">
        <v>155</v>
      </c>
      <c r="C1642" s="11" t="s">
        <v>154</v>
      </c>
      <c r="D1642" s="382">
        <v>40</v>
      </c>
      <c r="E1642" s="18">
        <f>'Mano de obra'!$J$21</f>
        <v>70.38</v>
      </c>
      <c r="F1642" s="375">
        <f t="shared" ref="F1642:F1645" si="82">ROUND(D1642*E1642, 2)</f>
        <v>2815.2</v>
      </c>
      <c r="G1642" s="1"/>
    </row>
    <row r="1643" spans="1:7" ht="14.1" customHeight="1">
      <c r="A1643" s="480">
        <v>15</v>
      </c>
      <c r="B1643" s="17" t="s">
        <v>156</v>
      </c>
      <c r="C1643" s="11" t="s">
        <v>154</v>
      </c>
      <c r="D1643" s="382"/>
      <c r="E1643" s="18">
        <f>'Mano de obra'!$J$22</f>
        <v>64.78</v>
      </c>
      <c r="F1643" s="375">
        <f t="shared" si="82"/>
        <v>0</v>
      </c>
      <c r="G1643" s="1"/>
    </row>
    <row r="1644" spans="1:7" ht="14.1" customHeight="1">
      <c r="A1644" s="480">
        <v>16</v>
      </c>
      <c r="B1644" s="17" t="s">
        <v>157</v>
      </c>
      <c r="C1644" s="11" t="s">
        <v>154</v>
      </c>
      <c r="D1644" s="382">
        <v>50</v>
      </c>
      <c r="E1644" s="18">
        <f>'Mano de obra'!$J$23</f>
        <v>59.800000000000004</v>
      </c>
      <c r="F1644" s="375">
        <f t="shared" si="82"/>
        <v>2990</v>
      </c>
      <c r="G1644" s="1"/>
    </row>
    <row r="1645" spans="1:7" ht="14.1" customHeight="1" thickBot="1">
      <c r="A1645" s="480">
        <v>17</v>
      </c>
      <c r="B1645" s="13"/>
      <c r="C1645" s="11"/>
      <c r="D1645" s="11"/>
      <c r="E1645" s="18"/>
      <c r="F1645" s="375">
        <f t="shared" si="82"/>
        <v>0</v>
      </c>
      <c r="G1645" s="1"/>
    </row>
    <row r="1646" spans="1:7" ht="14.1" customHeight="1" thickBot="1">
      <c r="A1646" s="483"/>
      <c r="B1646" s="333"/>
      <c r="C1646" s="336"/>
      <c r="D1646" s="336"/>
      <c r="E1646" s="367" t="s">
        <v>158</v>
      </c>
      <c r="F1646" s="376">
        <f>SUM(F1641:F1645)</f>
        <v>9109.6</v>
      </c>
      <c r="G1646" s="1"/>
    </row>
    <row r="1647" spans="1:7" ht="14.1" customHeight="1" thickBot="1">
      <c r="A1647" s="484"/>
      <c r="B1647" s="333"/>
      <c r="C1647" s="336"/>
      <c r="D1647" s="336"/>
      <c r="E1647" s="336"/>
      <c r="F1647" s="367"/>
      <c r="G1647" s="1"/>
    </row>
    <row r="1648" spans="1:7" ht="14.1" customHeight="1" thickBot="1">
      <c r="A1648" s="480"/>
      <c r="B1648" s="142" t="s">
        <v>273</v>
      </c>
      <c r="C1648" s="369"/>
      <c r="D1648" s="369"/>
      <c r="E1648" s="377" t="s">
        <v>159</v>
      </c>
      <c r="F1648" s="376">
        <f>SUM(F1637+F1646)</f>
        <v>25079.590000000004</v>
      </c>
      <c r="G1648" s="1"/>
    </row>
    <row r="1649" spans="1:7" ht="15" customHeight="1">
      <c r="A1649" s="626"/>
      <c r="B1649" s="627" t="s">
        <v>274</v>
      </c>
      <c r="C1649" s="628"/>
      <c r="D1649" s="628"/>
      <c r="E1649" s="629" t="s">
        <v>275</v>
      </c>
      <c r="F1649" s="631">
        <f>ROUND(F1648*'Coef. resumen'!$F$23, 2)</f>
        <v>37167.949999999997</v>
      </c>
    </row>
    <row r="1650" spans="1:7" ht="15" customHeight="1" thickBot="1">
      <c r="A1650" s="626"/>
      <c r="B1650" s="627"/>
      <c r="C1650" s="628"/>
      <c r="D1650" s="628"/>
      <c r="E1650" s="630"/>
      <c r="F1650" s="632"/>
    </row>
    <row r="1651" spans="1:7" ht="15">
      <c r="A1651" s="471"/>
      <c r="B1651" s="2"/>
      <c r="C1651" s="337"/>
      <c r="D1651" s="337"/>
      <c r="E1651" s="337"/>
      <c r="F1651" s="337"/>
    </row>
    <row r="1652" spans="1:7" ht="15">
      <c r="A1652" s="471"/>
      <c r="B1652" s="2"/>
      <c r="C1652" s="337"/>
      <c r="D1652" s="337"/>
      <c r="E1652" s="337"/>
      <c r="F1652" s="337"/>
    </row>
    <row r="1653" spans="1:7" ht="15">
      <c r="A1653" s="471"/>
      <c r="B1653" s="194" t="str">
        <f>'Coef. resumen'!$B$30</f>
        <v>Julián Antonelli</v>
      </c>
      <c r="C1653" s="524"/>
      <c r="D1653" s="524"/>
      <c r="E1653" s="194" t="str">
        <f>'Coef. resumen'!$E$30</f>
        <v>Marcelo A. Pasquini</v>
      </c>
      <c r="F1653" s="337"/>
    </row>
    <row r="1654" spans="1:7" ht="15">
      <c r="A1654" s="471"/>
      <c r="B1654" s="194" t="str">
        <f>'Coef. resumen'!$B$31</f>
        <v>Ing. Civil M.P. 2161</v>
      </c>
      <c r="C1654" s="524"/>
      <c r="D1654" s="524"/>
      <c r="E1654" s="194" t="str">
        <f>'Coef. resumen'!$E$31</f>
        <v>Socio Gerente</v>
      </c>
      <c r="F1654" s="337"/>
    </row>
    <row r="1655" spans="1:7" ht="15">
      <c r="A1655" s="471"/>
      <c r="B1655" s="194" t="str">
        <f>'Coef. resumen'!$B$32</f>
        <v>Representante Técnico</v>
      </c>
      <c r="C1655" s="524"/>
      <c r="D1655" s="19"/>
      <c r="E1655" s="194" t="str">
        <f>'Coef. resumen'!$E$32</f>
        <v>Pasquini Construcciones SRL</v>
      </c>
      <c r="F1655" s="337"/>
    </row>
    <row r="1656" spans="1:7" ht="15">
      <c r="A1656" s="471"/>
      <c r="B1656" s="194"/>
      <c r="C1656" s="337"/>
      <c r="D1656" s="19"/>
      <c r="E1656" s="194"/>
      <c r="F1656" s="337"/>
    </row>
    <row r="1657" spans="1:7" ht="14.1" customHeight="1">
      <c r="A1657" s="477" t="s">
        <v>142</v>
      </c>
      <c r="B1657" s="613" t="str">
        <f>Presupuesto!B68</f>
        <v>Cañerías de Hierro Galvanizado, válvulas, accesorios y cámaras para la entrada, salida, by-pass, desborde y limpieza con sus cámaras de material y tapas de hierro.</v>
      </c>
      <c r="C1657" s="614"/>
      <c r="D1657" s="615"/>
      <c r="E1657" s="367" t="s">
        <v>143</v>
      </c>
      <c r="F1657" s="30" t="str">
        <f>Presupuesto!C68</f>
        <v>Gl</v>
      </c>
      <c r="G1657" s="1"/>
    </row>
    <row r="1658" spans="1:7" ht="14.1" customHeight="1">
      <c r="A1658" s="622" t="str">
        <f>Presupuesto!A68</f>
        <v>1.8.9</v>
      </c>
      <c r="B1658" s="616"/>
      <c r="C1658" s="617"/>
      <c r="D1658" s="618"/>
      <c r="E1658" s="367"/>
      <c r="F1658" s="367"/>
      <c r="G1658" s="1"/>
    </row>
    <row r="1659" spans="1:7" ht="14.1" customHeight="1">
      <c r="A1659" s="622"/>
      <c r="B1659" s="616"/>
      <c r="C1659" s="617"/>
      <c r="D1659" s="618"/>
      <c r="E1659" s="367"/>
      <c r="F1659" s="367"/>
      <c r="G1659" s="1"/>
    </row>
    <row r="1660" spans="1:7" ht="14.1" customHeight="1">
      <c r="A1660" s="623"/>
      <c r="B1660" s="619"/>
      <c r="C1660" s="620"/>
      <c r="D1660" s="621"/>
      <c r="E1660" s="367"/>
      <c r="F1660" s="367"/>
      <c r="G1660" s="1"/>
    </row>
    <row r="1661" spans="1:7" ht="14.1" customHeight="1">
      <c r="A1661" s="478"/>
      <c r="B1661" s="29"/>
      <c r="C1661" s="368"/>
      <c r="D1661" s="368"/>
      <c r="E1661" s="365"/>
      <c r="F1661" s="365"/>
      <c r="G1661" s="1"/>
    </row>
    <row r="1662" spans="1:7" ht="14.1" customHeight="1">
      <c r="A1662" s="624" t="s">
        <v>144</v>
      </c>
      <c r="B1662" s="624"/>
      <c r="C1662" s="624"/>
      <c r="D1662" s="624"/>
      <c r="E1662" s="624"/>
      <c r="F1662" s="624"/>
      <c r="G1662" s="1"/>
    </row>
    <row r="1663" spans="1:7" ht="14.1" customHeight="1">
      <c r="A1663" s="479"/>
      <c r="B1663" s="10"/>
      <c r="C1663" s="335"/>
      <c r="D1663" s="335"/>
      <c r="E1663" s="335"/>
      <c r="F1663" s="335"/>
      <c r="G1663" s="1"/>
    </row>
    <row r="1664" spans="1:7" ht="15.95" customHeight="1">
      <c r="A1664" s="480" t="s">
        <v>145</v>
      </c>
      <c r="B1664" s="11" t="s">
        <v>146</v>
      </c>
      <c r="C1664" s="11" t="s">
        <v>147</v>
      </c>
      <c r="D1664" s="11" t="s">
        <v>148</v>
      </c>
      <c r="E1664" s="12" t="s">
        <v>149</v>
      </c>
      <c r="F1664" s="11" t="s">
        <v>150</v>
      </c>
      <c r="G1664" s="1"/>
    </row>
    <row r="1665" spans="1:7" ht="14.1" customHeight="1">
      <c r="A1665" s="480">
        <v>1</v>
      </c>
      <c r="B1665" s="384" t="s">
        <v>1087</v>
      </c>
      <c r="C1665" s="305" t="s">
        <v>12</v>
      </c>
      <c r="D1665" s="385">
        <v>80</v>
      </c>
      <c r="E1665" s="18">
        <v>530</v>
      </c>
      <c r="F1665" s="375">
        <f>ROUND(D1665*E1665, 2)</f>
        <v>42400</v>
      </c>
      <c r="G1665" s="1"/>
    </row>
    <row r="1666" spans="1:7" ht="14.1" customHeight="1">
      <c r="A1666" s="480">
        <v>2</v>
      </c>
      <c r="B1666" s="383" t="s">
        <v>1088</v>
      </c>
      <c r="C1666" s="305" t="s">
        <v>1026</v>
      </c>
      <c r="D1666" s="385">
        <v>1</v>
      </c>
      <c r="E1666" s="18">
        <f>0.45*F1665</f>
        <v>19080</v>
      </c>
      <c r="F1666" s="375">
        <f t="shared" ref="F1666:F1676" si="83">ROUND(D1666*E1666, 2)</f>
        <v>19080</v>
      </c>
      <c r="G1666" s="1"/>
    </row>
    <row r="1667" spans="1:7" ht="14.1" customHeight="1">
      <c r="A1667" s="480">
        <v>3</v>
      </c>
      <c r="B1667" s="384" t="s">
        <v>1002</v>
      </c>
      <c r="C1667" s="305" t="s">
        <v>362</v>
      </c>
      <c r="D1667" s="385">
        <v>500</v>
      </c>
      <c r="E1667" s="18">
        <f>'MAT 31-10-2013'!R$14</f>
        <v>1.013611111111111</v>
      </c>
      <c r="F1667" s="375">
        <f t="shared" si="83"/>
        <v>506.81</v>
      </c>
      <c r="G1667" s="1"/>
    </row>
    <row r="1668" spans="1:7" ht="14.1" customHeight="1">
      <c r="A1668" s="480">
        <v>4</v>
      </c>
      <c r="B1668" s="384" t="s">
        <v>328</v>
      </c>
      <c r="C1668" s="305" t="s">
        <v>53</v>
      </c>
      <c r="D1668" s="385">
        <v>1.5</v>
      </c>
      <c r="E1668" s="18">
        <f>'MAT 31-10-2013'!R$5</f>
        <v>39.059027777777771</v>
      </c>
      <c r="F1668" s="375">
        <f t="shared" si="83"/>
        <v>58.59</v>
      </c>
      <c r="G1668" s="1"/>
    </row>
    <row r="1669" spans="1:7" ht="14.1" customHeight="1">
      <c r="A1669" s="480">
        <v>5</v>
      </c>
      <c r="B1669" s="384" t="s">
        <v>1089</v>
      </c>
      <c r="C1669" s="305" t="s">
        <v>3</v>
      </c>
      <c r="D1669" s="385">
        <v>1200</v>
      </c>
      <c r="E1669" s="18">
        <f>'MAT 31-10-2013'!R$59</f>
        <v>2.3197887970615243</v>
      </c>
      <c r="F1669" s="375">
        <f t="shared" si="83"/>
        <v>2783.75</v>
      </c>
      <c r="G1669" s="1"/>
    </row>
    <row r="1670" spans="1:7" ht="14.1" customHeight="1">
      <c r="A1670" s="480">
        <v>6</v>
      </c>
      <c r="B1670" s="384" t="s">
        <v>1090</v>
      </c>
      <c r="C1670" s="305" t="s">
        <v>362</v>
      </c>
      <c r="D1670" s="385">
        <v>400</v>
      </c>
      <c r="E1670" s="18">
        <f>'MAT 31-10-2013'!R$40*1.2</f>
        <v>12.747854821802934</v>
      </c>
      <c r="F1670" s="375">
        <f t="shared" si="83"/>
        <v>5099.1400000000003</v>
      </c>
      <c r="G1670" s="1"/>
    </row>
    <row r="1671" spans="1:7" ht="14.1" customHeight="1">
      <c r="A1671" s="480">
        <v>7</v>
      </c>
      <c r="B1671" s="384"/>
      <c r="C1671" s="305"/>
      <c r="D1671" s="385"/>
      <c r="E1671" s="18"/>
      <c r="F1671" s="375">
        <f t="shared" si="83"/>
        <v>0</v>
      </c>
      <c r="G1671" s="1"/>
    </row>
    <row r="1672" spans="1:7" ht="14.1" customHeight="1">
      <c r="A1672" s="480">
        <v>8</v>
      </c>
      <c r="B1672" s="13"/>
      <c r="C1672" s="11"/>
      <c r="D1672" s="14"/>
      <c r="E1672" s="18"/>
      <c r="F1672" s="375">
        <f t="shared" si="83"/>
        <v>0</v>
      </c>
      <c r="G1672" s="1"/>
    </row>
    <row r="1673" spans="1:7" ht="14.1" customHeight="1">
      <c r="A1673" s="480">
        <v>9</v>
      </c>
      <c r="B1673" s="220"/>
      <c r="C1673" s="334"/>
      <c r="D1673" s="14"/>
      <c r="E1673" s="18"/>
      <c r="F1673" s="375">
        <f t="shared" si="83"/>
        <v>0</v>
      </c>
      <c r="G1673" s="1"/>
    </row>
    <row r="1674" spans="1:7" ht="14.1" customHeight="1">
      <c r="A1674" s="480">
        <v>10</v>
      </c>
      <c r="B1674" s="201"/>
      <c r="C1674" s="11"/>
      <c r="D1674" s="14"/>
      <c r="E1674" s="18"/>
      <c r="F1674" s="375">
        <f t="shared" si="83"/>
        <v>0</v>
      </c>
      <c r="G1674" s="1"/>
    </row>
    <row r="1675" spans="1:7" ht="14.1" customHeight="1">
      <c r="A1675" s="480">
        <v>11</v>
      </c>
      <c r="B1675" s="13"/>
      <c r="C1675" s="11"/>
      <c r="D1675" s="14"/>
      <c r="E1675" s="18"/>
      <c r="F1675" s="375">
        <f t="shared" si="83"/>
        <v>0</v>
      </c>
      <c r="G1675" s="1"/>
    </row>
    <row r="1676" spans="1:7" ht="14.1" customHeight="1" thickBot="1">
      <c r="A1676" s="480">
        <v>12</v>
      </c>
      <c r="B1676" s="13"/>
      <c r="C1676" s="11"/>
      <c r="D1676" s="11"/>
      <c r="E1676" s="18"/>
      <c r="F1676" s="375">
        <f t="shared" si="83"/>
        <v>0</v>
      </c>
      <c r="G1676" s="1"/>
    </row>
    <row r="1677" spans="1:7" ht="14.1" customHeight="1" thickBot="1">
      <c r="A1677" s="481"/>
      <c r="B1677" s="5"/>
      <c r="C1677" s="367"/>
      <c r="D1677" s="367"/>
      <c r="E1677" s="367" t="s">
        <v>151</v>
      </c>
      <c r="F1677" s="376">
        <f>SUM(F1665:F1676)</f>
        <v>69928.289999999994</v>
      </c>
      <c r="G1677" s="1"/>
    </row>
    <row r="1678" spans="1:7" ht="14.1" customHeight="1">
      <c r="A1678" s="482"/>
      <c r="B1678" s="333"/>
      <c r="C1678" s="336"/>
      <c r="D1678" s="336"/>
      <c r="E1678" s="336"/>
      <c r="F1678" s="336"/>
      <c r="G1678" s="1"/>
    </row>
    <row r="1679" spans="1:7" ht="14.1" customHeight="1">
      <c r="A1679" s="625" t="s">
        <v>152</v>
      </c>
      <c r="B1679" s="625"/>
      <c r="C1679" s="625"/>
      <c r="D1679" s="625"/>
      <c r="E1679" s="625"/>
      <c r="F1679" s="625"/>
      <c r="G1679" s="1"/>
    </row>
    <row r="1680" spans="1:7" ht="14.1" customHeight="1">
      <c r="A1680" s="482"/>
      <c r="B1680" s="333"/>
      <c r="C1680" s="336"/>
      <c r="D1680" s="336"/>
      <c r="E1680" s="336"/>
      <c r="F1680" s="367"/>
      <c r="G1680" s="1"/>
    </row>
    <row r="1681" spans="1:7" ht="14.1" customHeight="1">
      <c r="A1681" s="480">
        <v>13</v>
      </c>
      <c r="B1681" s="17" t="s">
        <v>153</v>
      </c>
      <c r="C1681" s="11" t="s">
        <v>154</v>
      </c>
      <c r="D1681" s="382">
        <v>30</v>
      </c>
      <c r="E1681" s="18">
        <f>'Mano de obra'!$J$20</f>
        <v>82.610000000000014</v>
      </c>
      <c r="F1681" s="375">
        <f>ROUND(D1681*E1681, 2)</f>
        <v>2478.3000000000002</v>
      </c>
      <c r="G1681" s="1"/>
    </row>
    <row r="1682" spans="1:7" ht="14.1" customHeight="1">
      <c r="A1682" s="480">
        <v>14</v>
      </c>
      <c r="B1682" s="17" t="s">
        <v>155</v>
      </c>
      <c r="C1682" s="11" t="s">
        <v>154</v>
      </c>
      <c r="D1682" s="382">
        <v>40</v>
      </c>
      <c r="E1682" s="18">
        <f>'Mano de obra'!$J$21</f>
        <v>70.38</v>
      </c>
      <c r="F1682" s="375">
        <f t="shared" ref="F1682:F1685" si="84">ROUND(D1682*E1682, 2)</f>
        <v>2815.2</v>
      </c>
      <c r="G1682" s="1"/>
    </row>
    <row r="1683" spans="1:7" ht="14.1" customHeight="1">
      <c r="A1683" s="480">
        <v>15</v>
      </c>
      <c r="B1683" s="17" t="s">
        <v>156</v>
      </c>
      <c r="C1683" s="11" t="s">
        <v>154</v>
      </c>
      <c r="D1683" s="382"/>
      <c r="E1683" s="18">
        <f>'Mano de obra'!$J$22</f>
        <v>64.78</v>
      </c>
      <c r="F1683" s="375">
        <f t="shared" si="84"/>
        <v>0</v>
      </c>
      <c r="G1683" s="1"/>
    </row>
    <row r="1684" spans="1:7" ht="14.1" customHeight="1">
      <c r="A1684" s="480">
        <v>16</v>
      </c>
      <c r="B1684" s="17" t="s">
        <v>157</v>
      </c>
      <c r="C1684" s="11" t="s">
        <v>154</v>
      </c>
      <c r="D1684" s="382">
        <v>80</v>
      </c>
      <c r="E1684" s="18">
        <f>'Mano de obra'!$J$23</f>
        <v>59.800000000000004</v>
      </c>
      <c r="F1684" s="375">
        <f t="shared" si="84"/>
        <v>4784</v>
      </c>
      <c r="G1684" s="1"/>
    </row>
    <row r="1685" spans="1:7" ht="14.1" customHeight="1" thickBot="1">
      <c r="A1685" s="480">
        <v>17</v>
      </c>
      <c r="B1685" s="13"/>
      <c r="C1685" s="11"/>
      <c r="D1685" s="11"/>
      <c r="E1685" s="18"/>
      <c r="F1685" s="375">
        <f t="shared" si="84"/>
        <v>0</v>
      </c>
      <c r="G1685" s="1"/>
    </row>
    <row r="1686" spans="1:7" ht="14.1" customHeight="1" thickBot="1">
      <c r="A1686" s="483"/>
      <c r="B1686" s="333"/>
      <c r="C1686" s="336"/>
      <c r="D1686" s="336"/>
      <c r="E1686" s="367" t="s">
        <v>158</v>
      </c>
      <c r="F1686" s="376">
        <f>SUM(F1681:F1685)</f>
        <v>10077.5</v>
      </c>
      <c r="G1686" s="1"/>
    </row>
    <row r="1687" spans="1:7" ht="14.1" customHeight="1" thickBot="1">
      <c r="A1687" s="484"/>
      <c r="B1687" s="333"/>
      <c r="C1687" s="336"/>
      <c r="D1687" s="336"/>
      <c r="E1687" s="336"/>
      <c r="F1687" s="367"/>
      <c r="G1687" s="1"/>
    </row>
    <row r="1688" spans="1:7" ht="14.1" customHeight="1" thickBot="1">
      <c r="A1688" s="480"/>
      <c r="B1688" s="142" t="s">
        <v>273</v>
      </c>
      <c r="C1688" s="369"/>
      <c r="D1688" s="369"/>
      <c r="E1688" s="377" t="s">
        <v>159</v>
      </c>
      <c r="F1688" s="376">
        <f>SUM(F1677+F1686)</f>
        <v>80005.789999999994</v>
      </c>
      <c r="G1688" s="1"/>
    </row>
    <row r="1689" spans="1:7" ht="15" customHeight="1">
      <c r="A1689" s="626"/>
      <c r="B1689" s="627" t="s">
        <v>274</v>
      </c>
      <c r="C1689" s="628"/>
      <c r="D1689" s="628"/>
      <c r="E1689" s="629" t="s">
        <v>275</v>
      </c>
      <c r="F1689" s="631">
        <f>ROUND(F1688*'Coef. resumen'!$F$23, 2)</f>
        <v>118568.58</v>
      </c>
    </row>
    <row r="1690" spans="1:7" ht="15" customHeight="1" thickBot="1">
      <c r="A1690" s="626"/>
      <c r="B1690" s="627"/>
      <c r="C1690" s="628"/>
      <c r="D1690" s="628"/>
      <c r="E1690" s="630"/>
      <c r="F1690" s="632"/>
    </row>
    <row r="1691" spans="1:7" ht="15">
      <c r="A1691" s="471"/>
      <c r="B1691" s="2"/>
      <c r="C1691" s="337"/>
      <c r="D1691" s="337"/>
      <c r="E1691" s="337"/>
      <c r="F1691" s="337"/>
    </row>
    <row r="1692" spans="1:7" ht="15">
      <c r="A1692" s="471"/>
      <c r="B1692" s="2"/>
      <c r="C1692" s="337"/>
      <c r="D1692" s="337"/>
      <c r="E1692" s="337"/>
      <c r="F1692" s="337"/>
    </row>
    <row r="1693" spans="1:7" ht="15">
      <c r="A1693" s="471"/>
      <c r="B1693" s="194" t="str">
        <f>'Coef. resumen'!$B$30</f>
        <v>Julián Antonelli</v>
      </c>
      <c r="C1693" s="524"/>
      <c r="D1693" s="524"/>
      <c r="E1693" s="194" t="str">
        <f>'Coef. resumen'!$E$30</f>
        <v>Marcelo A. Pasquini</v>
      </c>
      <c r="F1693" s="337"/>
    </row>
    <row r="1694" spans="1:7" ht="15">
      <c r="A1694" s="471"/>
      <c r="B1694" s="194" t="str">
        <f>'Coef. resumen'!$B$31</f>
        <v>Ing. Civil M.P. 2161</v>
      </c>
      <c r="C1694" s="524"/>
      <c r="D1694" s="524"/>
      <c r="E1694" s="194" t="str">
        <f>'Coef. resumen'!$E$31</f>
        <v>Socio Gerente</v>
      </c>
      <c r="F1694" s="337"/>
    </row>
    <row r="1695" spans="1:7" ht="15">
      <c r="A1695" s="471"/>
      <c r="B1695" s="194" t="str">
        <f>'Coef. resumen'!$B$32</f>
        <v>Representante Técnico</v>
      </c>
      <c r="C1695" s="524"/>
      <c r="D1695" s="19"/>
      <c r="E1695" s="194" t="str">
        <f>'Coef. resumen'!$E$32</f>
        <v>Pasquini Construcciones SRL</v>
      </c>
      <c r="F1695" s="337"/>
    </row>
    <row r="1696" spans="1:7" ht="15">
      <c r="A1696" s="471"/>
      <c r="B1696" s="194"/>
      <c r="C1696" s="337"/>
      <c r="D1696" s="19"/>
      <c r="E1696" s="194"/>
      <c r="F1696" s="337"/>
    </row>
    <row r="1697" spans="1:14" ht="14.1" customHeight="1">
      <c r="A1697" s="477" t="s">
        <v>142</v>
      </c>
      <c r="B1697" s="613" t="str">
        <f>Presupuesto!B70</f>
        <v>Cerco perimetral Captación o Perforaciones</v>
      </c>
      <c r="C1697" s="614"/>
      <c r="D1697" s="615"/>
      <c r="E1697" s="367" t="s">
        <v>143</v>
      </c>
      <c r="F1697" s="30" t="str">
        <f>Presupuesto!C70</f>
        <v>ml</v>
      </c>
      <c r="G1697" s="1"/>
    </row>
    <row r="1698" spans="1:14" ht="14.1" customHeight="1">
      <c r="A1698" s="622" t="str">
        <f>Presupuesto!A70</f>
        <v>1.9.1</v>
      </c>
      <c r="B1698" s="616"/>
      <c r="C1698" s="617"/>
      <c r="D1698" s="618"/>
      <c r="E1698" s="367"/>
      <c r="F1698" s="367"/>
      <c r="G1698" s="1"/>
    </row>
    <row r="1699" spans="1:14" ht="14.1" customHeight="1">
      <c r="A1699" s="622"/>
      <c r="B1699" s="616"/>
      <c r="C1699" s="617"/>
      <c r="D1699" s="618"/>
      <c r="E1699" s="367"/>
      <c r="F1699" s="367"/>
      <c r="G1699" s="1"/>
    </row>
    <row r="1700" spans="1:14" ht="14.1" customHeight="1">
      <c r="A1700" s="623"/>
      <c r="B1700" s="619"/>
      <c r="C1700" s="620"/>
      <c r="D1700" s="621"/>
      <c r="E1700" s="367"/>
      <c r="F1700" s="367"/>
      <c r="G1700" s="1"/>
    </row>
    <row r="1701" spans="1:14" ht="14.1" customHeight="1">
      <c r="A1701" s="478"/>
      <c r="B1701" s="29"/>
      <c r="C1701" s="368"/>
      <c r="D1701" s="368"/>
      <c r="E1701" s="365"/>
      <c r="F1701" s="365"/>
      <c r="G1701" s="1"/>
    </row>
    <row r="1702" spans="1:14" ht="14.1" customHeight="1">
      <c r="A1702" s="624" t="s">
        <v>144</v>
      </c>
      <c r="B1702" s="624"/>
      <c r="C1702" s="624"/>
      <c r="D1702" s="624"/>
      <c r="E1702" s="624"/>
      <c r="F1702" s="624"/>
      <c r="G1702" s="1"/>
    </row>
    <row r="1703" spans="1:14" ht="14.1" customHeight="1">
      <c r="A1703" s="479"/>
      <c r="B1703" s="10"/>
      <c r="C1703" s="335"/>
      <c r="D1703" s="335"/>
      <c r="E1703" s="335"/>
      <c r="F1703" s="335"/>
      <c r="G1703" s="1"/>
    </row>
    <row r="1704" spans="1:14" ht="15.95" customHeight="1">
      <c r="A1704" s="480" t="s">
        <v>145</v>
      </c>
      <c r="B1704" s="11" t="s">
        <v>146</v>
      </c>
      <c r="C1704" s="11" t="s">
        <v>147</v>
      </c>
      <c r="D1704" s="11" t="s">
        <v>148</v>
      </c>
      <c r="E1704" s="12" t="s">
        <v>149</v>
      </c>
      <c r="F1704" s="11" t="s">
        <v>150</v>
      </c>
      <c r="G1704" s="1"/>
      <c r="H1704" s="389"/>
      <c r="I1704" s="389"/>
      <c r="J1704" s="389"/>
      <c r="K1704" s="389"/>
      <c r="L1704" s="389"/>
      <c r="M1704" s="389"/>
      <c r="N1704" s="389"/>
    </row>
    <row r="1705" spans="1:14" ht="14.1" customHeight="1">
      <c r="A1705" s="480">
        <v>1</v>
      </c>
      <c r="B1705" s="387" t="s">
        <v>1095</v>
      </c>
      <c r="C1705" s="385" t="s">
        <v>433</v>
      </c>
      <c r="D1705" s="385">
        <v>0.8</v>
      </c>
      <c r="E1705" s="18">
        <f>'MAT 31-10-2013'!R$45</f>
        <v>310.77841666666666</v>
      </c>
      <c r="F1705" s="375">
        <f>ROUND(D1705*E1705, 2)</f>
        <v>248.62</v>
      </c>
      <c r="G1705" s="1"/>
      <c r="H1705" s="389"/>
      <c r="I1705" s="389"/>
      <c r="J1705" s="389"/>
      <c r="K1705" s="389"/>
      <c r="L1705" s="389"/>
      <c r="M1705" s="389"/>
      <c r="N1705" s="389"/>
    </row>
    <row r="1706" spans="1:14" ht="14.1" customHeight="1">
      <c r="A1706" s="480">
        <v>2</v>
      </c>
      <c r="B1706" s="387" t="s">
        <v>1096</v>
      </c>
      <c r="C1706" s="385" t="s">
        <v>362</v>
      </c>
      <c r="D1706" s="385">
        <f>3*1.5</f>
        <v>4.5</v>
      </c>
      <c r="E1706" s="18">
        <f>'MAT 31-10-2013'!R$41</f>
        <v>11.120277777777778</v>
      </c>
      <c r="F1706" s="375">
        <f t="shared" ref="F1706:F1716" si="85">ROUND(D1706*E1706, 2)</f>
        <v>50.04</v>
      </c>
      <c r="G1706" s="1"/>
      <c r="H1706" s="389"/>
      <c r="I1706" s="388"/>
      <c r="J1706" s="388"/>
      <c r="K1706" s="388"/>
      <c r="L1706" s="388"/>
      <c r="M1706" s="390"/>
      <c r="N1706" s="390"/>
    </row>
    <row r="1707" spans="1:14" ht="14.1" customHeight="1">
      <c r="A1707" s="480">
        <v>3</v>
      </c>
      <c r="B1707" s="387" t="s">
        <v>1097</v>
      </c>
      <c r="C1707" s="385" t="s">
        <v>362</v>
      </c>
      <c r="D1707" s="385">
        <f>0.5</f>
        <v>0.5</v>
      </c>
      <c r="E1707" s="18">
        <f>'MAT 31-10-2013'!R$36</f>
        <v>14.828541666666668</v>
      </c>
      <c r="F1707" s="375">
        <f t="shared" si="85"/>
        <v>7.41</v>
      </c>
      <c r="G1707" s="1"/>
      <c r="H1707" s="389"/>
      <c r="I1707" s="388"/>
      <c r="J1707" s="388"/>
      <c r="K1707" s="388"/>
      <c r="L1707" s="388"/>
      <c r="M1707" s="390"/>
      <c r="N1707" s="390"/>
    </row>
    <row r="1708" spans="1:14" ht="14.1" customHeight="1">
      <c r="A1708" s="480">
        <v>4</v>
      </c>
      <c r="B1708" s="387" t="s">
        <v>1000</v>
      </c>
      <c r="C1708" s="385" t="s">
        <v>53</v>
      </c>
      <c r="D1708" s="385">
        <f>0.65*0.5</f>
        <v>0.32500000000000001</v>
      </c>
      <c r="E1708" s="18">
        <f>'MAT 31-10-2013'!R$7</f>
        <v>39.059027777777771</v>
      </c>
      <c r="F1708" s="375">
        <f t="shared" si="85"/>
        <v>12.69</v>
      </c>
      <c r="G1708" s="1"/>
      <c r="H1708" s="389"/>
      <c r="I1708" s="388"/>
      <c r="J1708" s="388"/>
      <c r="K1708" s="388"/>
      <c r="L1708" s="388"/>
      <c r="M1708" s="390"/>
      <c r="N1708" s="390"/>
    </row>
    <row r="1709" spans="1:14" ht="14.1" customHeight="1">
      <c r="A1709" s="480">
        <v>5</v>
      </c>
      <c r="B1709" s="387" t="s">
        <v>328</v>
      </c>
      <c r="C1709" s="385" t="s">
        <v>53</v>
      </c>
      <c r="D1709" s="385">
        <f>0.65*0.5</f>
        <v>0.32500000000000001</v>
      </c>
      <c r="E1709" s="18">
        <f>'MAT 31-10-2013'!R$5</f>
        <v>39.059027777777771</v>
      </c>
      <c r="F1709" s="375">
        <f t="shared" si="85"/>
        <v>12.69</v>
      </c>
      <c r="G1709" s="1"/>
      <c r="H1709" s="389"/>
      <c r="I1709" s="388"/>
      <c r="J1709" s="388"/>
      <c r="K1709" s="388"/>
      <c r="L1709" s="388"/>
      <c r="M1709" s="390"/>
      <c r="N1709" s="390"/>
    </row>
    <row r="1710" spans="1:14" ht="14.1" customHeight="1">
      <c r="A1710" s="480">
        <v>6</v>
      </c>
      <c r="B1710" s="391" t="s">
        <v>1002</v>
      </c>
      <c r="C1710" s="385" t="s">
        <v>362</v>
      </c>
      <c r="D1710" s="385">
        <f>200*0.4</f>
        <v>80</v>
      </c>
      <c r="E1710" s="18">
        <f>'MAT 31-10-2013'!R$14</f>
        <v>1.013611111111111</v>
      </c>
      <c r="F1710" s="375">
        <f t="shared" si="85"/>
        <v>81.09</v>
      </c>
      <c r="G1710" s="1"/>
      <c r="H1710" s="389"/>
      <c r="I1710" s="388"/>
      <c r="J1710" s="388"/>
      <c r="K1710" s="388"/>
      <c r="L1710" s="388"/>
      <c r="M1710" s="390"/>
      <c r="N1710" s="390"/>
    </row>
    <row r="1711" spans="1:14" ht="14.1" customHeight="1">
      <c r="A1711" s="480">
        <v>7</v>
      </c>
      <c r="B1711" s="384" t="s">
        <v>1098</v>
      </c>
      <c r="C1711" s="305" t="s">
        <v>433</v>
      </c>
      <c r="D1711" s="385">
        <v>0.5</v>
      </c>
      <c r="E1711" s="18">
        <v>175</v>
      </c>
      <c r="F1711" s="375">
        <f t="shared" si="85"/>
        <v>87.5</v>
      </c>
      <c r="G1711" s="1"/>
      <c r="H1711" s="389"/>
      <c r="I1711" s="388"/>
      <c r="J1711" s="388"/>
      <c r="K1711" s="388"/>
      <c r="L1711" s="388"/>
      <c r="M1711" s="390"/>
      <c r="N1711" s="390"/>
    </row>
    <row r="1712" spans="1:14" ht="14.1" customHeight="1">
      <c r="A1712" s="480">
        <v>8</v>
      </c>
      <c r="B1712" s="13"/>
      <c r="C1712" s="11"/>
      <c r="D1712" s="14"/>
      <c r="E1712" s="18"/>
      <c r="F1712" s="375">
        <f t="shared" si="85"/>
        <v>0</v>
      </c>
      <c r="G1712" s="1"/>
      <c r="H1712" s="389"/>
      <c r="I1712" s="389"/>
      <c r="J1712" s="389"/>
      <c r="K1712" s="389"/>
      <c r="L1712" s="389"/>
      <c r="M1712" s="389"/>
      <c r="N1712" s="389"/>
    </row>
    <row r="1713" spans="1:14" ht="14.1" customHeight="1">
      <c r="A1713" s="480">
        <v>9</v>
      </c>
      <c r="B1713" s="220"/>
      <c r="C1713" s="334"/>
      <c r="D1713" s="14"/>
      <c r="E1713" s="18"/>
      <c r="F1713" s="375">
        <f t="shared" si="85"/>
        <v>0</v>
      </c>
      <c r="G1713" s="1"/>
      <c r="H1713" s="389"/>
      <c r="I1713" s="389"/>
      <c r="J1713" s="389"/>
      <c r="K1713" s="389"/>
      <c r="L1713" s="389"/>
      <c r="M1713" s="389"/>
      <c r="N1713" s="389"/>
    </row>
    <row r="1714" spans="1:14" ht="14.1" customHeight="1">
      <c r="A1714" s="480">
        <v>10</v>
      </c>
      <c r="B1714" s="201"/>
      <c r="C1714" s="11"/>
      <c r="D1714" s="14"/>
      <c r="E1714" s="18"/>
      <c r="F1714" s="375">
        <f t="shared" si="85"/>
        <v>0</v>
      </c>
      <c r="G1714" s="1"/>
    </row>
    <row r="1715" spans="1:14" ht="14.1" customHeight="1">
      <c r="A1715" s="480">
        <v>11</v>
      </c>
      <c r="B1715" s="13"/>
      <c r="C1715" s="11"/>
      <c r="D1715" s="14"/>
      <c r="E1715" s="18"/>
      <c r="F1715" s="375">
        <f t="shared" si="85"/>
        <v>0</v>
      </c>
      <c r="G1715" s="1"/>
    </row>
    <row r="1716" spans="1:14" ht="14.1" customHeight="1" thickBot="1">
      <c r="A1716" s="480">
        <v>12</v>
      </c>
      <c r="B1716" s="13"/>
      <c r="C1716" s="11"/>
      <c r="D1716" s="11"/>
      <c r="E1716" s="18"/>
      <c r="F1716" s="375">
        <f t="shared" si="85"/>
        <v>0</v>
      </c>
      <c r="G1716" s="1"/>
    </row>
    <row r="1717" spans="1:14" ht="14.1" customHeight="1" thickBot="1">
      <c r="A1717" s="481"/>
      <c r="B1717" s="5"/>
      <c r="C1717" s="367"/>
      <c r="D1717" s="367"/>
      <c r="E1717" s="367" t="s">
        <v>151</v>
      </c>
      <c r="F1717" s="376">
        <f>SUM(F1705:F1716)</f>
        <v>500.04000000000008</v>
      </c>
      <c r="G1717" s="1"/>
    </row>
    <row r="1718" spans="1:14" ht="14.1" customHeight="1">
      <c r="A1718" s="482"/>
      <c r="B1718" s="333"/>
      <c r="C1718" s="336"/>
      <c r="D1718" s="336"/>
      <c r="E1718" s="336"/>
      <c r="F1718" s="336"/>
      <c r="G1718" s="1"/>
    </row>
    <row r="1719" spans="1:14" ht="14.1" customHeight="1">
      <c r="A1719" s="625" t="s">
        <v>152</v>
      </c>
      <c r="B1719" s="625"/>
      <c r="C1719" s="625"/>
      <c r="D1719" s="625"/>
      <c r="E1719" s="625"/>
      <c r="F1719" s="625"/>
      <c r="G1719" s="1"/>
    </row>
    <row r="1720" spans="1:14" ht="14.1" customHeight="1">
      <c r="A1720" s="482"/>
      <c r="B1720" s="333"/>
      <c r="C1720" s="336"/>
      <c r="D1720" s="336"/>
      <c r="E1720" s="336"/>
      <c r="F1720" s="367"/>
      <c r="G1720" s="1"/>
    </row>
    <row r="1721" spans="1:14" ht="14.1" customHeight="1">
      <c r="A1721" s="480">
        <v>13</v>
      </c>
      <c r="B1721" s="17" t="s">
        <v>153</v>
      </c>
      <c r="C1721" s="11" t="s">
        <v>154</v>
      </c>
      <c r="D1721" s="382">
        <v>0</v>
      </c>
      <c r="E1721" s="18">
        <f>'Mano de obra'!$J$20</f>
        <v>82.610000000000014</v>
      </c>
      <c r="F1721" s="375">
        <f>ROUND(D1721*E1721, 2)</f>
        <v>0</v>
      </c>
      <c r="G1721" s="1"/>
    </row>
    <row r="1722" spans="1:14" ht="14.1" customHeight="1">
      <c r="A1722" s="480">
        <v>14</v>
      </c>
      <c r="B1722" s="17" t="s">
        <v>155</v>
      </c>
      <c r="C1722" s="11" t="s">
        <v>154</v>
      </c>
      <c r="D1722" s="382">
        <v>0.8</v>
      </c>
      <c r="E1722" s="18">
        <f>'Mano de obra'!$J$21</f>
        <v>70.38</v>
      </c>
      <c r="F1722" s="375">
        <f t="shared" ref="F1722:F1725" si="86">ROUND(D1722*E1722, 2)</f>
        <v>56.3</v>
      </c>
      <c r="G1722" s="1"/>
    </row>
    <row r="1723" spans="1:14" ht="14.1" customHeight="1">
      <c r="A1723" s="480">
        <v>15</v>
      </c>
      <c r="B1723" s="17" t="s">
        <v>156</v>
      </c>
      <c r="C1723" s="11" t="s">
        <v>154</v>
      </c>
      <c r="D1723" s="382"/>
      <c r="E1723" s="18">
        <f>'Mano de obra'!$J$22</f>
        <v>64.78</v>
      </c>
      <c r="F1723" s="375">
        <f t="shared" si="86"/>
        <v>0</v>
      </c>
      <c r="G1723" s="1"/>
    </row>
    <row r="1724" spans="1:14" ht="14.1" customHeight="1">
      <c r="A1724" s="480">
        <v>16</v>
      </c>
      <c r="B1724" s="17" t="s">
        <v>157</v>
      </c>
      <c r="C1724" s="11" t="s">
        <v>154</v>
      </c>
      <c r="D1724" s="382">
        <v>1.2</v>
      </c>
      <c r="E1724" s="18">
        <f>'Mano de obra'!$J$23</f>
        <v>59.800000000000004</v>
      </c>
      <c r="F1724" s="375">
        <f t="shared" si="86"/>
        <v>71.760000000000005</v>
      </c>
      <c r="G1724" s="1"/>
    </row>
    <row r="1725" spans="1:14" ht="14.1" customHeight="1" thickBot="1">
      <c r="A1725" s="480">
        <v>17</v>
      </c>
      <c r="B1725" s="13"/>
      <c r="C1725" s="11"/>
      <c r="D1725" s="11"/>
      <c r="E1725" s="18"/>
      <c r="F1725" s="375">
        <f t="shared" si="86"/>
        <v>0</v>
      </c>
      <c r="G1725" s="1"/>
    </row>
    <row r="1726" spans="1:14" ht="14.1" customHeight="1" thickBot="1">
      <c r="A1726" s="483"/>
      <c r="B1726" s="333"/>
      <c r="C1726" s="336"/>
      <c r="D1726" s="336"/>
      <c r="E1726" s="367" t="s">
        <v>158</v>
      </c>
      <c r="F1726" s="376">
        <f>SUM(F1721:F1725)</f>
        <v>128.06</v>
      </c>
      <c r="G1726" s="1"/>
    </row>
    <row r="1727" spans="1:14" ht="14.1" customHeight="1" thickBot="1">
      <c r="A1727" s="484"/>
      <c r="B1727" s="333"/>
      <c r="C1727" s="336"/>
      <c r="D1727" s="336"/>
      <c r="E1727" s="336"/>
      <c r="F1727" s="367"/>
      <c r="G1727" s="1"/>
    </row>
    <row r="1728" spans="1:14" ht="14.1" customHeight="1" thickBot="1">
      <c r="A1728" s="480"/>
      <c r="B1728" s="142" t="s">
        <v>273</v>
      </c>
      <c r="C1728" s="369"/>
      <c r="D1728" s="369"/>
      <c r="E1728" s="377" t="s">
        <v>159</v>
      </c>
      <c r="F1728" s="376">
        <f>SUM(F1717+F1726)</f>
        <v>628.10000000000014</v>
      </c>
      <c r="G1728" s="1"/>
    </row>
    <row r="1729" spans="1:14" ht="15" customHeight="1">
      <c r="A1729" s="626"/>
      <c r="B1729" s="627" t="s">
        <v>274</v>
      </c>
      <c r="C1729" s="628"/>
      <c r="D1729" s="628"/>
      <c r="E1729" s="629" t="s">
        <v>275</v>
      </c>
      <c r="F1729" s="631">
        <f>ROUND(F1728*'Coef. resumen'!$F$23, 2)</f>
        <v>930.84</v>
      </c>
    </row>
    <row r="1730" spans="1:14" ht="15" customHeight="1" thickBot="1">
      <c r="A1730" s="626"/>
      <c r="B1730" s="627"/>
      <c r="C1730" s="628"/>
      <c r="D1730" s="628"/>
      <c r="E1730" s="630"/>
      <c r="F1730" s="632"/>
    </row>
    <row r="1731" spans="1:14" ht="15">
      <c r="A1731" s="471"/>
      <c r="B1731" s="2"/>
      <c r="C1731" s="337"/>
      <c r="D1731" s="337"/>
      <c r="E1731" s="337"/>
      <c r="F1731" s="337"/>
    </row>
    <row r="1732" spans="1:14" ht="15">
      <c r="A1732" s="471"/>
      <c r="B1732" s="2"/>
      <c r="C1732" s="337"/>
      <c r="D1732" s="337"/>
      <c r="E1732" s="337"/>
      <c r="F1732" s="337"/>
    </row>
    <row r="1733" spans="1:14" ht="15">
      <c r="A1733" s="471"/>
      <c r="B1733" s="194" t="str">
        <f>'Coef. resumen'!$B$30</f>
        <v>Julián Antonelli</v>
      </c>
      <c r="C1733" s="524"/>
      <c r="D1733" s="524"/>
      <c r="E1733" s="194" t="str">
        <f>'Coef. resumen'!$E$30</f>
        <v>Marcelo A. Pasquini</v>
      </c>
      <c r="F1733" s="337"/>
    </row>
    <row r="1734" spans="1:14" ht="15">
      <c r="A1734" s="471"/>
      <c r="B1734" s="194" t="str">
        <f>'Coef. resumen'!$B$31</f>
        <v>Ing. Civil M.P. 2161</v>
      </c>
      <c r="C1734" s="524"/>
      <c r="D1734" s="524"/>
      <c r="E1734" s="194" t="str">
        <f>'Coef. resumen'!$E$31</f>
        <v>Socio Gerente</v>
      </c>
      <c r="F1734" s="337"/>
    </row>
    <row r="1735" spans="1:14" ht="15">
      <c r="A1735" s="471"/>
      <c r="B1735" s="194" t="str">
        <f>'Coef. resumen'!$B$32</f>
        <v>Representante Técnico</v>
      </c>
      <c r="C1735" s="524"/>
      <c r="D1735" s="19"/>
      <c r="E1735" s="194" t="str">
        <f>'Coef. resumen'!$E$32</f>
        <v>Pasquini Construcciones SRL</v>
      </c>
      <c r="F1735" s="337"/>
    </row>
    <row r="1736" spans="1:14" ht="15">
      <c r="A1736" s="471"/>
      <c r="B1736" s="194"/>
      <c r="C1736" s="337"/>
      <c r="D1736" s="19"/>
      <c r="E1736" s="194"/>
      <c r="F1736" s="337"/>
    </row>
    <row r="1737" spans="1:14" ht="14.1" customHeight="1">
      <c r="A1737" s="477" t="s">
        <v>142</v>
      </c>
      <c r="B1737" s="613" t="str">
        <f>Presupuesto!B71</f>
        <v>Cerco perimetral Caseta y Cisterna 100m3 (Predio 30 mx 20 m)</v>
      </c>
      <c r="C1737" s="614"/>
      <c r="D1737" s="615"/>
      <c r="E1737" s="367" t="s">
        <v>143</v>
      </c>
      <c r="F1737" s="30" t="str">
        <f>Presupuesto!C71</f>
        <v>ml</v>
      </c>
      <c r="G1737" s="1"/>
    </row>
    <row r="1738" spans="1:14" ht="14.1" customHeight="1">
      <c r="A1738" s="622" t="str">
        <f>Presupuesto!A71</f>
        <v>1.9.2</v>
      </c>
      <c r="B1738" s="616"/>
      <c r="C1738" s="617"/>
      <c r="D1738" s="618"/>
      <c r="E1738" s="367"/>
      <c r="F1738" s="367"/>
      <c r="G1738" s="1"/>
    </row>
    <row r="1739" spans="1:14" ht="14.1" customHeight="1">
      <c r="A1739" s="622"/>
      <c r="B1739" s="616"/>
      <c r="C1739" s="617"/>
      <c r="D1739" s="618"/>
      <c r="E1739" s="367"/>
      <c r="F1739" s="367"/>
      <c r="G1739" s="1"/>
    </row>
    <row r="1740" spans="1:14" ht="14.1" customHeight="1">
      <c r="A1740" s="623"/>
      <c r="B1740" s="619"/>
      <c r="C1740" s="620"/>
      <c r="D1740" s="621"/>
      <c r="E1740" s="367"/>
      <c r="F1740" s="367"/>
      <c r="G1740" s="1"/>
    </row>
    <row r="1741" spans="1:14" ht="14.1" customHeight="1">
      <c r="A1741" s="478"/>
      <c r="B1741" s="29"/>
      <c r="C1741" s="368"/>
      <c r="D1741" s="368"/>
      <c r="E1741" s="365"/>
      <c r="F1741" s="365"/>
      <c r="G1741" s="1"/>
    </row>
    <row r="1742" spans="1:14" ht="14.1" customHeight="1">
      <c r="A1742" s="624" t="s">
        <v>144</v>
      </c>
      <c r="B1742" s="624"/>
      <c r="C1742" s="624"/>
      <c r="D1742" s="624"/>
      <c r="E1742" s="624"/>
      <c r="F1742" s="624"/>
      <c r="G1742" s="1"/>
    </row>
    <row r="1743" spans="1:14" ht="14.1" customHeight="1">
      <c r="A1743" s="479"/>
      <c r="B1743" s="10"/>
      <c r="C1743" s="335"/>
      <c r="D1743" s="335"/>
      <c r="E1743" s="335"/>
      <c r="F1743" s="335"/>
      <c r="G1743" s="1"/>
    </row>
    <row r="1744" spans="1:14" ht="15.95" customHeight="1">
      <c r="A1744" s="480" t="s">
        <v>145</v>
      </c>
      <c r="B1744" s="11" t="s">
        <v>146</v>
      </c>
      <c r="C1744" s="11" t="s">
        <v>147</v>
      </c>
      <c r="D1744" s="11" t="s">
        <v>148</v>
      </c>
      <c r="E1744" s="12" t="s">
        <v>149</v>
      </c>
      <c r="F1744" s="11" t="s">
        <v>150</v>
      </c>
      <c r="G1744" s="1"/>
      <c r="H1744" s="389"/>
      <c r="I1744" s="389"/>
      <c r="J1744" s="389"/>
      <c r="K1744" s="389"/>
      <c r="L1744" s="389"/>
      <c r="M1744" s="389"/>
      <c r="N1744" s="389"/>
    </row>
    <row r="1745" spans="1:14" ht="14.1" customHeight="1">
      <c r="A1745" s="480">
        <v>1</v>
      </c>
      <c r="B1745" s="387" t="s">
        <v>1095</v>
      </c>
      <c r="C1745" s="385" t="s">
        <v>433</v>
      </c>
      <c r="D1745" s="385">
        <v>0.8</v>
      </c>
      <c r="E1745" s="18">
        <f>'MAT 31-10-2013'!R$45</f>
        <v>310.77841666666666</v>
      </c>
      <c r="F1745" s="375">
        <f>ROUND(D1745*E1745, 2)</f>
        <v>248.62</v>
      </c>
      <c r="G1745" s="1"/>
      <c r="H1745" s="389"/>
      <c r="I1745" s="389"/>
      <c r="J1745" s="389"/>
      <c r="K1745" s="389"/>
      <c r="L1745" s="389"/>
      <c r="M1745" s="389"/>
      <c r="N1745" s="389"/>
    </row>
    <row r="1746" spans="1:14" ht="14.1" customHeight="1">
      <c r="A1746" s="480">
        <v>2</v>
      </c>
      <c r="B1746" s="387" t="s">
        <v>1096</v>
      </c>
      <c r="C1746" s="385" t="s">
        <v>362</v>
      </c>
      <c r="D1746" s="385">
        <f>3*1.5</f>
        <v>4.5</v>
      </c>
      <c r="E1746" s="18">
        <f>'MAT 31-10-2013'!R$41</f>
        <v>11.120277777777778</v>
      </c>
      <c r="F1746" s="375">
        <f t="shared" ref="F1746:F1756" si="87">ROUND(D1746*E1746, 2)</f>
        <v>50.04</v>
      </c>
      <c r="G1746" s="1"/>
      <c r="H1746" s="389"/>
      <c r="I1746" s="388"/>
      <c r="J1746" s="388"/>
      <c r="K1746" s="388"/>
      <c r="L1746" s="388"/>
      <c r="M1746" s="390"/>
      <c r="N1746" s="390"/>
    </row>
    <row r="1747" spans="1:14" ht="14.1" customHeight="1">
      <c r="A1747" s="480">
        <v>3</v>
      </c>
      <c r="B1747" s="387" t="s">
        <v>1097</v>
      </c>
      <c r="C1747" s="385" t="s">
        <v>362</v>
      </c>
      <c r="D1747" s="385">
        <f>0.5</f>
        <v>0.5</v>
      </c>
      <c r="E1747" s="18">
        <f>'MAT 31-10-2013'!R$36</f>
        <v>14.828541666666668</v>
      </c>
      <c r="F1747" s="375">
        <f t="shared" si="87"/>
        <v>7.41</v>
      </c>
      <c r="G1747" s="1"/>
      <c r="H1747" s="389"/>
      <c r="I1747" s="388"/>
      <c r="J1747" s="388"/>
      <c r="K1747" s="388"/>
      <c r="L1747" s="388"/>
      <c r="M1747" s="390"/>
      <c r="N1747" s="390"/>
    </row>
    <row r="1748" spans="1:14" ht="14.1" customHeight="1">
      <c r="A1748" s="480">
        <v>4</v>
      </c>
      <c r="B1748" s="387" t="s">
        <v>1000</v>
      </c>
      <c r="C1748" s="385" t="s">
        <v>53</v>
      </c>
      <c r="D1748" s="385">
        <f>0.65*0.5</f>
        <v>0.32500000000000001</v>
      </c>
      <c r="E1748" s="18">
        <f>'MAT 31-10-2013'!R$7</f>
        <v>39.059027777777771</v>
      </c>
      <c r="F1748" s="375">
        <f t="shared" si="87"/>
        <v>12.69</v>
      </c>
      <c r="G1748" s="1"/>
      <c r="H1748" s="389"/>
      <c r="I1748" s="388"/>
      <c r="J1748" s="388"/>
      <c r="K1748" s="388"/>
      <c r="L1748" s="388"/>
      <c r="M1748" s="390"/>
      <c r="N1748" s="390"/>
    </row>
    <row r="1749" spans="1:14" ht="14.1" customHeight="1">
      <c r="A1749" s="480">
        <v>5</v>
      </c>
      <c r="B1749" s="387" t="s">
        <v>328</v>
      </c>
      <c r="C1749" s="385" t="s">
        <v>53</v>
      </c>
      <c r="D1749" s="385">
        <f>0.65*0.5</f>
        <v>0.32500000000000001</v>
      </c>
      <c r="E1749" s="18">
        <f>'MAT 31-10-2013'!R$5</f>
        <v>39.059027777777771</v>
      </c>
      <c r="F1749" s="375">
        <f t="shared" si="87"/>
        <v>12.69</v>
      </c>
      <c r="G1749" s="1"/>
      <c r="H1749" s="389"/>
      <c r="I1749" s="388"/>
      <c r="J1749" s="388"/>
      <c r="K1749" s="388"/>
      <c r="L1749" s="388"/>
      <c r="M1749" s="390"/>
      <c r="N1749" s="390"/>
    </row>
    <row r="1750" spans="1:14" ht="14.1" customHeight="1">
      <c r="A1750" s="480">
        <v>6</v>
      </c>
      <c r="B1750" s="391" t="s">
        <v>1002</v>
      </c>
      <c r="C1750" s="385" t="s">
        <v>362</v>
      </c>
      <c r="D1750" s="385">
        <f>200*0.4</f>
        <v>80</v>
      </c>
      <c r="E1750" s="18">
        <f>'MAT 31-10-2013'!R$14</f>
        <v>1.013611111111111</v>
      </c>
      <c r="F1750" s="375">
        <f t="shared" si="87"/>
        <v>81.09</v>
      </c>
      <c r="G1750" s="1"/>
      <c r="H1750" s="389"/>
      <c r="I1750" s="388"/>
      <c r="J1750" s="388"/>
      <c r="K1750" s="388"/>
      <c r="L1750" s="388"/>
      <c r="M1750" s="390"/>
      <c r="N1750" s="390"/>
    </row>
    <row r="1751" spans="1:14" ht="14.1" customHeight="1">
      <c r="A1751" s="480">
        <v>7</v>
      </c>
      <c r="B1751" s="384" t="s">
        <v>1098</v>
      </c>
      <c r="C1751" s="305" t="s">
        <v>433</v>
      </c>
      <c r="D1751" s="385">
        <v>0.5</v>
      </c>
      <c r="E1751" s="18">
        <v>175</v>
      </c>
      <c r="F1751" s="375">
        <f t="shared" si="87"/>
        <v>87.5</v>
      </c>
      <c r="G1751" s="1"/>
      <c r="H1751" s="389"/>
      <c r="I1751" s="388"/>
      <c r="J1751" s="388"/>
      <c r="K1751" s="388"/>
      <c r="L1751" s="388"/>
      <c r="M1751" s="390"/>
      <c r="N1751" s="390"/>
    </row>
    <row r="1752" spans="1:14" ht="14.1" customHeight="1">
      <c r="A1752" s="480">
        <v>8</v>
      </c>
      <c r="B1752" s="13"/>
      <c r="C1752" s="11"/>
      <c r="D1752" s="14"/>
      <c r="E1752" s="18"/>
      <c r="F1752" s="375">
        <f t="shared" si="87"/>
        <v>0</v>
      </c>
      <c r="G1752" s="1"/>
      <c r="H1752" s="389"/>
      <c r="I1752" s="389"/>
      <c r="J1752" s="389"/>
      <c r="K1752" s="389"/>
      <c r="L1752" s="389"/>
      <c r="M1752" s="389"/>
      <c r="N1752" s="389"/>
    </row>
    <row r="1753" spans="1:14" ht="14.1" customHeight="1">
      <c r="A1753" s="480">
        <v>9</v>
      </c>
      <c r="B1753" s="220"/>
      <c r="C1753" s="334"/>
      <c r="D1753" s="14"/>
      <c r="E1753" s="18"/>
      <c r="F1753" s="375">
        <f t="shared" si="87"/>
        <v>0</v>
      </c>
      <c r="G1753" s="1"/>
      <c r="H1753" s="389"/>
      <c r="I1753" s="389"/>
      <c r="J1753" s="389"/>
      <c r="K1753" s="389"/>
      <c r="L1753" s="389"/>
      <c r="M1753" s="389"/>
      <c r="N1753" s="389"/>
    </row>
    <row r="1754" spans="1:14" ht="14.1" customHeight="1">
      <c r="A1754" s="480">
        <v>10</v>
      </c>
      <c r="B1754" s="201"/>
      <c r="C1754" s="11"/>
      <c r="D1754" s="14"/>
      <c r="E1754" s="18"/>
      <c r="F1754" s="375">
        <f t="shared" si="87"/>
        <v>0</v>
      </c>
      <c r="G1754" s="1"/>
    </row>
    <row r="1755" spans="1:14" ht="14.1" customHeight="1">
      <c r="A1755" s="480">
        <v>11</v>
      </c>
      <c r="B1755" s="13"/>
      <c r="C1755" s="11"/>
      <c r="D1755" s="14"/>
      <c r="E1755" s="18"/>
      <c r="F1755" s="375">
        <f t="shared" si="87"/>
        <v>0</v>
      </c>
      <c r="G1755" s="1"/>
    </row>
    <row r="1756" spans="1:14" ht="14.1" customHeight="1" thickBot="1">
      <c r="A1756" s="480">
        <v>12</v>
      </c>
      <c r="B1756" s="13"/>
      <c r="C1756" s="11"/>
      <c r="D1756" s="11"/>
      <c r="E1756" s="18"/>
      <c r="F1756" s="375">
        <f t="shared" si="87"/>
        <v>0</v>
      </c>
      <c r="G1756" s="1"/>
    </row>
    <row r="1757" spans="1:14" ht="14.1" customHeight="1" thickBot="1">
      <c r="A1757" s="481"/>
      <c r="B1757" s="5"/>
      <c r="C1757" s="367"/>
      <c r="D1757" s="367"/>
      <c r="E1757" s="367" t="s">
        <v>151</v>
      </c>
      <c r="F1757" s="376">
        <f>SUM(F1745:F1756)</f>
        <v>500.04000000000008</v>
      </c>
      <c r="G1757" s="1"/>
    </row>
    <row r="1758" spans="1:14" ht="14.1" customHeight="1">
      <c r="A1758" s="482"/>
      <c r="B1758" s="333"/>
      <c r="C1758" s="336"/>
      <c r="D1758" s="336"/>
      <c r="E1758" s="336"/>
      <c r="F1758" s="336"/>
      <c r="G1758" s="1"/>
    </row>
    <row r="1759" spans="1:14" ht="14.1" customHeight="1">
      <c r="A1759" s="625" t="s">
        <v>152</v>
      </c>
      <c r="B1759" s="625"/>
      <c r="C1759" s="625"/>
      <c r="D1759" s="625"/>
      <c r="E1759" s="625"/>
      <c r="F1759" s="625"/>
      <c r="G1759" s="1"/>
    </row>
    <row r="1760" spans="1:14" ht="14.1" customHeight="1">
      <c r="A1760" s="482"/>
      <c r="B1760" s="333"/>
      <c r="C1760" s="336"/>
      <c r="D1760" s="336"/>
      <c r="E1760" s="336"/>
      <c r="F1760" s="367"/>
      <c r="G1760" s="1"/>
    </row>
    <row r="1761" spans="1:7" ht="14.1" customHeight="1">
      <c r="A1761" s="480">
        <v>13</v>
      </c>
      <c r="B1761" s="17" t="s">
        <v>153</v>
      </c>
      <c r="C1761" s="11" t="s">
        <v>154</v>
      </c>
      <c r="D1761" s="382">
        <v>0</v>
      </c>
      <c r="E1761" s="18">
        <f>'Mano de obra'!$J$20</f>
        <v>82.610000000000014</v>
      </c>
      <c r="F1761" s="375">
        <f>ROUND(D1761*E1761, 2)</f>
        <v>0</v>
      </c>
      <c r="G1761" s="1"/>
    </row>
    <row r="1762" spans="1:7" ht="14.1" customHeight="1">
      <c r="A1762" s="480">
        <v>14</v>
      </c>
      <c r="B1762" s="17" t="s">
        <v>155</v>
      </c>
      <c r="C1762" s="11" t="s">
        <v>154</v>
      </c>
      <c r="D1762" s="382">
        <v>0.8</v>
      </c>
      <c r="E1762" s="18">
        <f>'Mano de obra'!$J$21</f>
        <v>70.38</v>
      </c>
      <c r="F1762" s="375">
        <f t="shared" ref="F1762:F1765" si="88">ROUND(D1762*E1762, 2)</f>
        <v>56.3</v>
      </c>
      <c r="G1762" s="1"/>
    </row>
    <row r="1763" spans="1:7" ht="14.1" customHeight="1">
      <c r="A1763" s="480">
        <v>15</v>
      </c>
      <c r="B1763" s="17" t="s">
        <v>156</v>
      </c>
      <c r="C1763" s="11" t="s">
        <v>154</v>
      </c>
      <c r="D1763" s="382"/>
      <c r="E1763" s="18">
        <f>'Mano de obra'!$J$22</f>
        <v>64.78</v>
      </c>
      <c r="F1763" s="375">
        <f t="shared" si="88"/>
        <v>0</v>
      </c>
      <c r="G1763" s="1"/>
    </row>
    <row r="1764" spans="1:7" ht="14.1" customHeight="1">
      <c r="A1764" s="480">
        <v>16</v>
      </c>
      <c r="B1764" s="17" t="s">
        <v>157</v>
      </c>
      <c r="C1764" s="11" t="s">
        <v>154</v>
      </c>
      <c r="D1764" s="382">
        <v>1.2</v>
      </c>
      <c r="E1764" s="18">
        <f>'Mano de obra'!$J$23</f>
        <v>59.800000000000004</v>
      </c>
      <c r="F1764" s="375">
        <f t="shared" si="88"/>
        <v>71.760000000000005</v>
      </c>
      <c r="G1764" s="1"/>
    </row>
    <row r="1765" spans="1:7" ht="14.1" customHeight="1" thickBot="1">
      <c r="A1765" s="480">
        <v>17</v>
      </c>
      <c r="B1765" s="13"/>
      <c r="C1765" s="11"/>
      <c r="D1765" s="11"/>
      <c r="E1765" s="18"/>
      <c r="F1765" s="375">
        <f t="shared" si="88"/>
        <v>0</v>
      </c>
      <c r="G1765" s="1"/>
    </row>
    <row r="1766" spans="1:7" ht="14.1" customHeight="1" thickBot="1">
      <c r="A1766" s="483"/>
      <c r="B1766" s="333"/>
      <c r="C1766" s="336"/>
      <c r="D1766" s="336"/>
      <c r="E1766" s="367" t="s">
        <v>158</v>
      </c>
      <c r="F1766" s="376">
        <f>SUM(F1761:F1765)</f>
        <v>128.06</v>
      </c>
      <c r="G1766" s="1"/>
    </row>
    <row r="1767" spans="1:7" ht="14.1" customHeight="1" thickBot="1">
      <c r="A1767" s="484"/>
      <c r="B1767" s="333"/>
      <c r="C1767" s="336"/>
      <c r="D1767" s="336"/>
      <c r="E1767" s="336"/>
      <c r="F1767" s="367"/>
      <c r="G1767" s="1"/>
    </row>
    <row r="1768" spans="1:7" ht="14.1" customHeight="1" thickBot="1">
      <c r="A1768" s="480"/>
      <c r="B1768" s="142" t="s">
        <v>273</v>
      </c>
      <c r="C1768" s="369"/>
      <c r="D1768" s="369"/>
      <c r="E1768" s="377" t="s">
        <v>159</v>
      </c>
      <c r="F1768" s="376">
        <f>SUM(F1757+F1766)</f>
        <v>628.10000000000014</v>
      </c>
      <c r="G1768" s="1"/>
    </row>
    <row r="1769" spans="1:7" ht="15" customHeight="1">
      <c r="A1769" s="626"/>
      <c r="B1769" s="627" t="s">
        <v>274</v>
      </c>
      <c r="C1769" s="628"/>
      <c r="D1769" s="628"/>
      <c r="E1769" s="629" t="s">
        <v>275</v>
      </c>
      <c r="F1769" s="631">
        <f>ROUND(F1768*'Coef. resumen'!$F$23, 2)</f>
        <v>930.84</v>
      </c>
    </row>
    <row r="1770" spans="1:7" ht="15" customHeight="1" thickBot="1">
      <c r="A1770" s="626"/>
      <c r="B1770" s="627"/>
      <c r="C1770" s="628"/>
      <c r="D1770" s="628"/>
      <c r="E1770" s="630"/>
      <c r="F1770" s="632"/>
    </row>
    <row r="1771" spans="1:7" ht="15">
      <c r="A1771" s="471"/>
      <c r="B1771" s="2"/>
      <c r="C1771" s="337"/>
      <c r="D1771" s="337"/>
      <c r="E1771" s="337"/>
      <c r="F1771" s="337"/>
    </row>
    <row r="1772" spans="1:7" ht="15">
      <c r="A1772" s="471"/>
      <c r="B1772" s="2"/>
      <c r="C1772" s="337"/>
      <c r="D1772" s="337"/>
      <c r="E1772" s="337"/>
      <c r="F1772" s="337"/>
    </row>
    <row r="1773" spans="1:7" ht="15">
      <c r="A1773" s="471"/>
      <c r="B1773" s="194" t="str">
        <f>'Coef. resumen'!$B$30</f>
        <v>Julián Antonelli</v>
      </c>
      <c r="C1773" s="524"/>
      <c r="D1773" s="524"/>
      <c r="E1773" s="194" t="str">
        <f>'Coef. resumen'!$E$30</f>
        <v>Marcelo A. Pasquini</v>
      </c>
      <c r="F1773" s="337"/>
    </row>
    <row r="1774" spans="1:7" ht="15">
      <c r="A1774" s="471"/>
      <c r="B1774" s="194" t="str">
        <f>'Coef. resumen'!$B$31</f>
        <v>Ing. Civil M.P. 2161</v>
      </c>
      <c r="C1774" s="524"/>
      <c r="D1774" s="524"/>
      <c r="E1774" s="194" t="str">
        <f>'Coef. resumen'!$E$31</f>
        <v>Socio Gerente</v>
      </c>
      <c r="F1774" s="337"/>
    </row>
    <row r="1775" spans="1:7" ht="15">
      <c r="A1775" s="471"/>
      <c r="B1775" s="194" t="str">
        <f>'Coef. resumen'!$B$32</f>
        <v>Representante Técnico</v>
      </c>
      <c r="C1775" s="524"/>
      <c r="D1775" s="19"/>
      <c r="E1775" s="194" t="str">
        <f>'Coef. resumen'!$E$32</f>
        <v>Pasquini Construcciones SRL</v>
      </c>
      <c r="F1775" s="337"/>
    </row>
    <row r="1776" spans="1:7" ht="15">
      <c r="A1776" s="471"/>
      <c r="B1776" s="194"/>
      <c r="C1776" s="337"/>
      <c r="D1776" s="19"/>
      <c r="E1776" s="194"/>
      <c r="F1776" s="337"/>
    </row>
    <row r="1777" spans="1:14" ht="14.1" customHeight="1">
      <c r="A1777" s="477" t="s">
        <v>142</v>
      </c>
      <c r="B1777" s="613" t="str">
        <f>Presupuesto!B72</f>
        <v>Cerco perimetral Cisterna 1000m³  (Predio 50m x 50m)</v>
      </c>
      <c r="C1777" s="614"/>
      <c r="D1777" s="615"/>
      <c r="E1777" s="367" t="s">
        <v>143</v>
      </c>
      <c r="F1777" s="30" t="str">
        <f>Presupuesto!C72</f>
        <v>ml</v>
      </c>
      <c r="G1777" s="1"/>
    </row>
    <row r="1778" spans="1:14" ht="14.1" customHeight="1">
      <c r="A1778" s="622" t="str">
        <f>Presupuesto!A72</f>
        <v>1.9.3</v>
      </c>
      <c r="B1778" s="616"/>
      <c r="C1778" s="617"/>
      <c r="D1778" s="618"/>
      <c r="E1778" s="367"/>
      <c r="F1778" s="367"/>
      <c r="G1778" s="1"/>
    </row>
    <row r="1779" spans="1:14" ht="14.1" customHeight="1">
      <c r="A1779" s="622"/>
      <c r="B1779" s="616"/>
      <c r="C1779" s="617"/>
      <c r="D1779" s="618"/>
      <c r="E1779" s="367"/>
      <c r="F1779" s="367"/>
      <c r="G1779" s="1"/>
    </row>
    <row r="1780" spans="1:14" ht="14.1" customHeight="1">
      <c r="A1780" s="623"/>
      <c r="B1780" s="619"/>
      <c r="C1780" s="620"/>
      <c r="D1780" s="621"/>
      <c r="E1780" s="367"/>
      <c r="F1780" s="367"/>
      <c r="G1780" s="1"/>
    </row>
    <row r="1781" spans="1:14" ht="14.1" customHeight="1">
      <c r="A1781" s="478"/>
      <c r="B1781" s="29"/>
      <c r="C1781" s="368"/>
      <c r="D1781" s="368"/>
      <c r="E1781" s="365"/>
      <c r="F1781" s="365"/>
      <c r="G1781" s="1"/>
    </row>
    <row r="1782" spans="1:14" ht="14.1" customHeight="1">
      <c r="A1782" s="624" t="s">
        <v>144</v>
      </c>
      <c r="B1782" s="624"/>
      <c r="C1782" s="624"/>
      <c r="D1782" s="624"/>
      <c r="E1782" s="624"/>
      <c r="F1782" s="624"/>
      <c r="G1782" s="1"/>
    </row>
    <row r="1783" spans="1:14" ht="14.1" customHeight="1">
      <c r="A1783" s="479"/>
      <c r="B1783" s="10"/>
      <c r="C1783" s="335"/>
      <c r="D1783" s="335"/>
      <c r="E1783" s="335"/>
      <c r="F1783" s="335"/>
      <c r="G1783" s="1"/>
    </row>
    <row r="1784" spans="1:14" ht="15.95" customHeight="1">
      <c r="A1784" s="480" t="s">
        <v>145</v>
      </c>
      <c r="B1784" s="11" t="s">
        <v>146</v>
      </c>
      <c r="C1784" s="11" t="s">
        <v>147</v>
      </c>
      <c r="D1784" s="11" t="s">
        <v>148</v>
      </c>
      <c r="E1784" s="12" t="s">
        <v>149</v>
      </c>
      <c r="F1784" s="11" t="s">
        <v>150</v>
      </c>
      <c r="G1784" s="1"/>
      <c r="H1784" s="389"/>
      <c r="I1784" s="389"/>
      <c r="J1784" s="389"/>
      <c r="K1784" s="389"/>
      <c r="L1784" s="389"/>
      <c r="M1784" s="389"/>
      <c r="N1784" s="389"/>
    </row>
    <row r="1785" spans="1:14" ht="14.1" customHeight="1">
      <c r="A1785" s="480">
        <v>1</v>
      </c>
      <c r="B1785" s="387" t="s">
        <v>1095</v>
      </c>
      <c r="C1785" s="385" t="s">
        <v>433</v>
      </c>
      <c r="D1785" s="385">
        <v>0.8</v>
      </c>
      <c r="E1785" s="18">
        <f>'MAT 31-10-2013'!R$45</f>
        <v>310.77841666666666</v>
      </c>
      <c r="F1785" s="375">
        <f>ROUND(D1785*E1785, 2)</f>
        <v>248.62</v>
      </c>
      <c r="G1785" s="1"/>
      <c r="H1785" s="389"/>
      <c r="I1785" s="389"/>
      <c r="J1785" s="389"/>
      <c r="K1785" s="389"/>
      <c r="L1785" s="389"/>
      <c r="M1785" s="389"/>
      <c r="N1785" s="389"/>
    </row>
    <row r="1786" spans="1:14" ht="14.1" customHeight="1">
      <c r="A1786" s="480">
        <v>2</v>
      </c>
      <c r="B1786" s="387" t="s">
        <v>1096</v>
      </c>
      <c r="C1786" s="385" t="s">
        <v>362</v>
      </c>
      <c r="D1786" s="385">
        <f>3*1.5</f>
        <v>4.5</v>
      </c>
      <c r="E1786" s="18">
        <f>'MAT 31-10-2013'!R$41</f>
        <v>11.120277777777778</v>
      </c>
      <c r="F1786" s="375">
        <f t="shared" ref="F1786:F1796" si="89">ROUND(D1786*E1786, 2)</f>
        <v>50.04</v>
      </c>
      <c r="G1786" s="1"/>
      <c r="H1786" s="389"/>
      <c r="I1786" s="388"/>
      <c r="J1786" s="388"/>
      <c r="K1786" s="388"/>
      <c r="L1786" s="388"/>
      <c r="M1786" s="390"/>
      <c r="N1786" s="390"/>
    </row>
    <row r="1787" spans="1:14" ht="14.1" customHeight="1">
      <c r="A1787" s="480">
        <v>3</v>
      </c>
      <c r="B1787" s="387" t="s">
        <v>1097</v>
      </c>
      <c r="C1787" s="385" t="s">
        <v>362</v>
      </c>
      <c r="D1787" s="385">
        <f>0.5</f>
        <v>0.5</v>
      </c>
      <c r="E1787" s="18">
        <f>'MAT 31-10-2013'!R$36</f>
        <v>14.828541666666668</v>
      </c>
      <c r="F1787" s="375">
        <f t="shared" si="89"/>
        <v>7.41</v>
      </c>
      <c r="G1787" s="1"/>
      <c r="H1787" s="389"/>
      <c r="I1787" s="388"/>
      <c r="J1787" s="388"/>
      <c r="K1787" s="388"/>
      <c r="L1787" s="388"/>
      <c r="M1787" s="390"/>
      <c r="N1787" s="390"/>
    </row>
    <row r="1788" spans="1:14" ht="14.1" customHeight="1">
      <c r="A1788" s="480">
        <v>4</v>
      </c>
      <c r="B1788" s="387" t="s">
        <v>1000</v>
      </c>
      <c r="C1788" s="385" t="s">
        <v>53</v>
      </c>
      <c r="D1788" s="385">
        <f>0.65*0.5</f>
        <v>0.32500000000000001</v>
      </c>
      <c r="E1788" s="18">
        <f>'MAT 31-10-2013'!R$7</f>
        <v>39.059027777777771</v>
      </c>
      <c r="F1788" s="375">
        <f t="shared" si="89"/>
        <v>12.69</v>
      </c>
      <c r="G1788" s="1"/>
      <c r="H1788" s="389"/>
      <c r="I1788" s="388"/>
      <c r="J1788" s="388"/>
      <c r="K1788" s="388"/>
      <c r="L1788" s="388"/>
      <c r="M1788" s="390"/>
      <c r="N1788" s="390"/>
    </row>
    <row r="1789" spans="1:14" ht="14.1" customHeight="1">
      <c r="A1789" s="480">
        <v>5</v>
      </c>
      <c r="B1789" s="387" t="s">
        <v>328</v>
      </c>
      <c r="C1789" s="385" t="s">
        <v>53</v>
      </c>
      <c r="D1789" s="385">
        <f>0.65*0.5</f>
        <v>0.32500000000000001</v>
      </c>
      <c r="E1789" s="18">
        <f>'MAT 31-10-2013'!R$5</f>
        <v>39.059027777777771</v>
      </c>
      <c r="F1789" s="375">
        <f t="shared" si="89"/>
        <v>12.69</v>
      </c>
      <c r="G1789" s="1"/>
      <c r="H1789" s="389"/>
      <c r="I1789" s="388"/>
      <c r="J1789" s="388"/>
      <c r="K1789" s="388"/>
      <c r="L1789" s="388"/>
      <c r="M1789" s="390"/>
      <c r="N1789" s="390"/>
    </row>
    <row r="1790" spans="1:14" ht="14.1" customHeight="1">
      <c r="A1790" s="480">
        <v>6</v>
      </c>
      <c r="B1790" s="391" t="s">
        <v>1002</v>
      </c>
      <c r="C1790" s="385" t="s">
        <v>362</v>
      </c>
      <c r="D1790" s="385">
        <f>200*0.4</f>
        <v>80</v>
      </c>
      <c r="E1790" s="18">
        <f>'MAT 31-10-2013'!R$14</f>
        <v>1.013611111111111</v>
      </c>
      <c r="F1790" s="375">
        <f t="shared" si="89"/>
        <v>81.09</v>
      </c>
      <c r="G1790" s="1"/>
      <c r="H1790" s="389"/>
      <c r="I1790" s="388"/>
      <c r="J1790" s="388"/>
      <c r="K1790" s="388"/>
      <c r="L1790" s="388"/>
      <c r="M1790" s="390"/>
      <c r="N1790" s="390"/>
    </row>
    <row r="1791" spans="1:14" ht="14.1" customHeight="1">
      <c r="A1791" s="480">
        <v>7</v>
      </c>
      <c r="B1791" s="384" t="s">
        <v>1098</v>
      </c>
      <c r="C1791" s="305" t="s">
        <v>433</v>
      </c>
      <c r="D1791" s="385">
        <v>0.5</v>
      </c>
      <c r="E1791" s="18">
        <v>175</v>
      </c>
      <c r="F1791" s="375">
        <f t="shared" si="89"/>
        <v>87.5</v>
      </c>
      <c r="G1791" s="1"/>
      <c r="H1791" s="389"/>
      <c r="I1791" s="388"/>
      <c r="J1791" s="388"/>
      <c r="K1791" s="388"/>
      <c r="L1791" s="388"/>
      <c r="M1791" s="390"/>
      <c r="N1791" s="390"/>
    </row>
    <row r="1792" spans="1:14" ht="14.1" customHeight="1">
      <c r="A1792" s="480">
        <v>8</v>
      </c>
      <c r="B1792" s="13"/>
      <c r="C1792" s="11"/>
      <c r="D1792" s="14"/>
      <c r="E1792" s="18"/>
      <c r="F1792" s="375">
        <f t="shared" si="89"/>
        <v>0</v>
      </c>
      <c r="G1792" s="1"/>
      <c r="H1792" s="389"/>
      <c r="I1792" s="389"/>
      <c r="J1792" s="389"/>
      <c r="K1792" s="389"/>
      <c r="L1792" s="389"/>
      <c r="M1792" s="389"/>
      <c r="N1792" s="389"/>
    </row>
    <row r="1793" spans="1:14" ht="14.1" customHeight="1">
      <c r="A1793" s="480">
        <v>9</v>
      </c>
      <c r="B1793" s="220"/>
      <c r="C1793" s="334"/>
      <c r="D1793" s="14"/>
      <c r="E1793" s="18"/>
      <c r="F1793" s="375">
        <f t="shared" si="89"/>
        <v>0</v>
      </c>
      <c r="G1793" s="1"/>
      <c r="H1793" s="389"/>
      <c r="I1793" s="389"/>
      <c r="J1793" s="389"/>
      <c r="K1793" s="389"/>
      <c r="L1793" s="389"/>
      <c r="M1793" s="389"/>
      <c r="N1793" s="389"/>
    </row>
    <row r="1794" spans="1:14" ht="14.1" customHeight="1">
      <c r="A1794" s="480">
        <v>10</v>
      </c>
      <c r="B1794" s="201"/>
      <c r="C1794" s="11"/>
      <c r="D1794" s="14"/>
      <c r="E1794" s="18"/>
      <c r="F1794" s="375">
        <f t="shared" si="89"/>
        <v>0</v>
      </c>
      <c r="G1794" s="1"/>
    </row>
    <row r="1795" spans="1:14" ht="14.1" customHeight="1">
      <c r="A1795" s="480">
        <v>11</v>
      </c>
      <c r="B1795" s="13"/>
      <c r="C1795" s="11"/>
      <c r="D1795" s="14"/>
      <c r="E1795" s="18"/>
      <c r="F1795" s="375">
        <f t="shared" si="89"/>
        <v>0</v>
      </c>
      <c r="G1795" s="1"/>
    </row>
    <row r="1796" spans="1:14" ht="14.1" customHeight="1" thickBot="1">
      <c r="A1796" s="480">
        <v>12</v>
      </c>
      <c r="B1796" s="13"/>
      <c r="C1796" s="11"/>
      <c r="D1796" s="11"/>
      <c r="E1796" s="18"/>
      <c r="F1796" s="375">
        <f t="shared" si="89"/>
        <v>0</v>
      </c>
      <c r="G1796" s="1"/>
    </row>
    <row r="1797" spans="1:14" ht="14.1" customHeight="1" thickBot="1">
      <c r="A1797" s="481"/>
      <c r="B1797" s="5"/>
      <c r="C1797" s="367"/>
      <c r="D1797" s="367"/>
      <c r="E1797" s="367" t="s">
        <v>151</v>
      </c>
      <c r="F1797" s="376">
        <f>SUM(F1785:F1796)</f>
        <v>500.04000000000008</v>
      </c>
      <c r="G1797" s="1"/>
    </row>
    <row r="1798" spans="1:14" ht="14.1" customHeight="1">
      <c r="A1798" s="482"/>
      <c r="B1798" s="333"/>
      <c r="C1798" s="336"/>
      <c r="D1798" s="336"/>
      <c r="E1798" s="336"/>
      <c r="F1798" s="336"/>
      <c r="G1798" s="1"/>
    </row>
    <row r="1799" spans="1:14" ht="14.1" customHeight="1">
      <c r="A1799" s="625" t="s">
        <v>152</v>
      </c>
      <c r="B1799" s="625"/>
      <c r="C1799" s="625"/>
      <c r="D1799" s="625"/>
      <c r="E1799" s="625"/>
      <c r="F1799" s="625"/>
      <c r="G1799" s="1"/>
    </row>
    <row r="1800" spans="1:14" ht="14.1" customHeight="1">
      <c r="A1800" s="482"/>
      <c r="B1800" s="333"/>
      <c r="C1800" s="336"/>
      <c r="D1800" s="336"/>
      <c r="E1800" s="336"/>
      <c r="F1800" s="367"/>
      <c r="G1800" s="1"/>
    </row>
    <row r="1801" spans="1:14" ht="14.1" customHeight="1">
      <c r="A1801" s="480">
        <v>13</v>
      </c>
      <c r="B1801" s="17" t="s">
        <v>153</v>
      </c>
      <c r="C1801" s="11" t="s">
        <v>154</v>
      </c>
      <c r="D1801" s="382">
        <v>0</v>
      </c>
      <c r="E1801" s="18">
        <f>'Mano de obra'!$J$20</f>
        <v>82.610000000000014</v>
      </c>
      <c r="F1801" s="375">
        <f>ROUND(D1801*E1801, 2)</f>
        <v>0</v>
      </c>
      <c r="G1801" s="1"/>
    </row>
    <row r="1802" spans="1:14" ht="14.1" customHeight="1">
      <c r="A1802" s="480">
        <v>14</v>
      </c>
      <c r="B1802" s="17" t="s">
        <v>155</v>
      </c>
      <c r="C1802" s="11" t="s">
        <v>154</v>
      </c>
      <c r="D1802" s="382">
        <v>0.8</v>
      </c>
      <c r="E1802" s="18">
        <f>'Mano de obra'!$J$21</f>
        <v>70.38</v>
      </c>
      <c r="F1802" s="375">
        <f t="shared" ref="F1802:F1805" si="90">ROUND(D1802*E1802, 2)</f>
        <v>56.3</v>
      </c>
      <c r="G1802" s="1"/>
    </row>
    <row r="1803" spans="1:14" ht="14.1" customHeight="1">
      <c r="A1803" s="480">
        <v>15</v>
      </c>
      <c r="B1803" s="17" t="s">
        <v>156</v>
      </c>
      <c r="C1803" s="11" t="s">
        <v>154</v>
      </c>
      <c r="D1803" s="382"/>
      <c r="E1803" s="18">
        <f>'Mano de obra'!$J$22</f>
        <v>64.78</v>
      </c>
      <c r="F1803" s="375">
        <f t="shared" si="90"/>
        <v>0</v>
      </c>
      <c r="G1803" s="1"/>
    </row>
    <row r="1804" spans="1:14" ht="14.1" customHeight="1">
      <c r="A1804" s="480">
        <v>16</v>
      </c>
      <c r="B1804" s="17" t="s">
        <v>157</v>
      </c>
      <c r="C1804" s="11" t="s">
        <v>154</v>
      </c>
      <c r="D1804" s="382">
        <v>1.2</v>
      </c>
      <c r="E1804" s="18">
        <f>'Mano de obra'!$J$23</f>
        <v>59.800000000000004</v>
      </c>
      <c r="F1804" s="375">
        <f t="shared" si="90"/>
        <v>71.760000000000005</v>
      </c>
      <c r="G1804" s="1"/>
    </row>
    <row r="1805" spans="1:14" ht="14.1" customHeight="1" thickBot="1">
      <c r="A1805" s="480">
        <v>17</v>
      </c>
      <c r="B1805" s="13"/>
      <c r="C1805" s="11"/>
      <c r="D1805" s="11"/>
      <c r="E1805" s="18"/>
      <c r="F1805" s="375">
        <f t="shared" si="90"/>
        <v>0</v>
      </c>
      <c r="G1805" s="1"/>
    </row>
    <row r="1806" spans="1:14" ht="14.1" customHeight="1" thickBot="1">
      <c r="A1806" s="483"/>
      <c r="B1806" s="333"/>
      <c r="C1806" s="336"/>
      <c r="D1806" s="336"/>
      <c r="E1806" s="367" t="s">
        <v>158</v>
      </c>
      <c r="F1806" s="376">
        <f>SUM(F1801:F1805)</f>
        <v>128.06</v>
      </c>
      <c r="G1806" s="1"/>
    </row>
    <row r="1807" spans="1:14" ht="14.1" customHeight="1" thickBot="1">
      <c r="A1807" s="484"/>
      <c r="B1807" s="333"/>
      <c r="C1807" s="336"/>
      <c r="D1807" s="336"/>
      <c r="E1807" s="336"/>
      <c r="F1807" s="367"/>
      <c r="G1807" s="1"/>
    </row>
    <row r="1808" spans="1:14" ht="14.1" customHeight="1" thickBot="1">
      <c r="A1808" s="480"/>
      <c r="B1808" s="142" t="s">
        <v>273</v>
      </c>
      <c r="C1808" s="369"/>
      <c r="D1808" s="369"/>
      <c r="E1808" s="377" t="s">
        <v>159</v>
      </c>
      <c r="F1808" s="376">
        <f>SUM(F1797+F1806)</f>
        <v>628.10000000000014</v>
      </c>
      <c r="G1808" s="1"/>
    </row>
    <row r="1809" spans="1:14" ht="15" customHeight="1">
      <c r="A1809" s="626"/>
      <c r="B1809" s="627" t="s">
        <v>274</v>
      </c>
      <c r="C1809" s="628"/>
      <c r="D1809" s="628"/>
      <c r="E1809" s="629" t="s">
        <v>275</v>
      </c>
      <c r="F1809" s="631">
        <f>ROUND(F1808*'Coef. resumen'!$F$23, 2)</f>
        <v>930.84</v>
      </c>
    </row>
    <row r="1810" spans="1:14" ht="15" customHeight="1" thickBot="1">
      <c r="A1810" s="626"/>
      <c r="B1810" s="627"/>
      <c r="C1810" s="628"/>
      <c r="D1810" s="628"/>
      <c r="E1810" s="630"/>
      <c r="F1810" s="632"/>
    </row>
    <row r="1811" spans="1:14" ht="15">
      <c r="A1811" s="471"/>
      <c r="B1811" s="2"/>
      <c r="C1811" s="337"/>
      <c r="D1811" s="337"/>
      <c r="E1811" s="337"/>
      <c r="F1811" s="337"/>
    </row>
    <row r="1812" spans="1:14" ht="15">
      <c r="A1812" s="471"/>
      <c r="B1812" s="2"/>
      <c r="C1812" s="337"/>
      <c r="D1812" s="337"/>
      <c r="E1812" s="337"/>
      <c r="F1812" s="337"/>
    </row>
    <row r="1813" spans="1:14" ht="15">
      <c r="A1813" s="471"/>
      <c r="B1813" s="194" t="str">
        <f>'Coef. resumen'!$B$30</f>
        <v>Julián Antonelli</v>
      </c>
      <c r="C1813" s="524"/>
      <c r="D1813" s="524"/>
      <c r="E1813" s="194" t="str">
        <f>'Coef. resumen'!$E$30</f>
        <v>Marcelo A. Pasquini</v>
      </c>
      <c r="F1813" s="337"/>
    </row>
    <row r="1814" spans="1:14" ht="15">
      <c r="A1814" s="471"/>
      <c r="B1814" s="194" t="str">
        <f>'Coef. resumen'!$B$31</f>
        <v>Ing. Civil M.P. 2161</v>
      </c>
      <c r="C1814" s="524"/>
      <c r="D1814" s="524"/>
      <c r="E1814" s="194" t="str">
        <f>'Coef. resumen'!$E$31</f>
        <v>Socio Gerente</v>
      </c>
      <c r="F1814" s="337"/>
    </row>
    <row r="1815" spans="1:14" ht="15">
      <c r="A1815" s="471"/>
      <c r="B1815" s="194" t="str">
        <f>'Coef. resumen'!$B$32</f>
        <v>Representante Técnico</v>
      </c>
      <c r="C1815" s="524"/>
      <c r="D1815" s="19"/>
      <c r="E1815" s="194" t="str">
        <f>'Coef. resumen'!$E$32</f>
        <v>Pasquini Construcciones SRL</v>
      </c>
      <c r="F1815" s="337"/>
    </row>
    <row r="1816" spans="1:14" ht="15">
      <c r="A1816" s="471"/>
      <c r="B1816" s="194"/>
      <c r="C1816" s="337"/>
      <c r="D1816" s="19"/>
      <c r="E1816" s="194"/>
      <c r="F1816" s="337"/>
    </row>
    <row r="1817" spans="1:14" ht="14.1" customHeight="1">
      <c r="A1817" s="477" t="s">
        <v>142</v>
      </c>
      <c r="B1817" s="613" t="str">
        <f>Presupuesto!B73</f>
        <v>Portón metálico de 2 hojas</v>
      </c>
      <c r="C1817" s="614"/>
      <c r="D1817" s="615"/>
      <c r="E1817" s="367" t="s">
        <v>143</v>
      </c>
      <c r="F1817" s="30" t="str">
        <f>Presupuesto!C73</f>
        <v>un</v>
      </c>
      <c r="G1817" s="1"/>
    </row>
    <row r="1818" spans="1:14" ht="14.1" customHeight="1">
      <c r="A1818" s="622" t="str">
        <f>Presupuesto!A73</f>
        <v>1.9.4</v>
      </c>
      <c r="B1818" s="616"/>
      <c r="C1818" s="617"/>
      <c r="D1818" s="618"/>
      <c r="E1818" s="367"/>
      <c r="F1818" s="367"/>
      <c r="G1818" s="1"/>
    </row>
    <row r="1819" spans="1:14" ht="14.1" customHeight="1">
      <c r="A1819" s="622"/>
      <c r="B1819" s="616"/>
      <c r="C1819" s="617"/>
      <c r="D1819" s="618"/>
      <c r="E1819" s="367"/>
      <c r="F1819" s="367"/>
      <c r="G1819" s="1"/>
    </row>
    <row r="1820" spans="1:14" ht="14.1" customHeight="1">
      <c r="A1820" s="623"/>
      <c r="B1820" s="619"/>
      <c r="C1820" s="620"/>
      <c r="D1820" s="621"/>
      <c r="E1820" s="367"/>
      <c r="F1820" s="367"/>
      <c r="G1820" s="1"/>
    </row>
    <row r="1821" spans="1:14" ht="14.1" customHeight="1">
      <c r="A1821" s="478"/>
      <c r="B1821" s="29"/>
      <c r="C1821" s="368"/>
      <c r="D1821" s="368"/>
      <c r="E1821" s="365"/>
      <c r="F1821" s="365"/>
      <c r="G1821" s="1"/>
    </row>
    <row r="1822" spans="1:14" ht="14.1" customHeight="1">
      <c r="A1822" s="624" t="s">
        <v>144</v>
      </c>
      <c r="B1822" s="624"/>
      <c r="C1822" s="624"/>
      <c r="D1822" s="624"/>
      <c r="E1822" s="624"/>
      <c r="F1822" s="624"/>
      <c r="G1822" s="1"/>
    </row>
    <row r="1823" spans="1:14" ht="14.1" customHeight="1">
      <c r="A1823" s="479"/>
      <c r="B1823" s="10"/>
      <c r="C1823" s="335"/>
      <c r="D1823" s="335"/>
      <c r="E1823" s="335"/>
      <c r="F1823" s="335"/>
      <c r="G1823" s="1"/>
    </row>
    <row r="1824" spans="1:14" ht="15.95" customHeight="1">
      <c r="A1824" s="480" t="s">
        <v>145</v>
      </c>
      <c r="B1824" s="11" t="s">
        <v>146</v>
      </c>
      <c r="C1824" s="11" t="s">
        <v>147</v>
      </c>
      <c r="D1824" s="11" t="s">
        <v>148</v>
      </c>
      <c r="E1824" s="12" t="s">
        <v>149</v>
      </c>
      <c r="F1824" s="11" t="s">
        <v>150</v>
      </c>
      <c r="G1824" s="1"/>
      <c r="H1824" s="389"/>
      <c r="I1824" s="389"/>
      <c r="J1824" s="389"/>
      <c r="K1824" s="389"/>
      <c r="L1824" s="389"/>
      <c r="M1824" s="389"/>
      <c r="N1824" s="389"/>
    </row>
    <row r="1825" spans="1:14" ht="14.1" customHeight="1">
      <c r="A1825" s="480">
        <v>1</v>
      </c>
      <c r="B1825" s="387" t="s">
        <v>1099</v>
      </c>
      <c r="C1825" s="305" t="s">
        <v>4</v>
      </c>
      <c r="D1825" s="392">
        <v>12</v>
      </c>
      <c r="E1825" s="18">
        <f>'MAT 31-10-2013'!R42</f>
        <v>52.283950617283949</v>
      </c>
      <c r="F1825" s="375">
        <f>ROUND(D1825*E1825, 2)</f>
        <v>627.41</v>
      </c>
      <c r="G1825" s="1"/>
      <c r="H1825" s="389"/>
      <c r="I1825" s="389"/>
      <c r="J1825" s="389"/>
      <c r="K1825" s="389"/>
      <c r="L1825" s="389"/>
      <c r="M1825" s="389"/>
      <c r="N1825" s="389"/>
    </row>
    <row r="1826" spans="1:14" ht="14.1" customHeight="1">
      <c r="A1826" s="480">
        <v>2</v>
      </c>
      <c r="B1826" s="387" t="s">
        <v>1100</v>
      </c>
      <c r="C1826" s="305" t="s">
        <v>433</v>
      </c>
      <c r="D1826" s="392">
        <v>3</v>
      </c>
      <c r="E1826" s="18">
        <f>'MAT 31-10-2013'!R43</f>
        <v>106.23195833333334</v>
      </c>
      <c r="F1826" s="375">
        <f t="shared" ref="F1826:F1836" si="91">ROUND(D1826*E1826, 2)</f>
        <v>318.7</v>
      </c>
      <c r="G1826" s="1"/>
      <c r="H1826" s="389"/>
      <c r="I1826" s="388"/>
      <c r="J1826" s="388"/>
      <c r="K1826" s="388"/>
      <c r="L1826" s="388"/>
      <c r="M1826" s="390"/>
      <c r="N1826" s="390"/>
    </row>
    <row r="1827" spans="1:14" ht="14.1" customHeight="1">
      <c r="A1827" s="480">
        <v>3</v>
      </c>
      <c r="B1827" s="387" t="s">
        <v>1101</v>
      </c>
      <c r="C1827" s="305" t="s">
        <v>433</v>
      </c>
      <c r="D1827" s="392">
        <v>1</v>
      </c>
      <c r="E1827" s="18">
        <f>'MAT 31-10-2013'!R33*25</f>
        <v>346.07343750000001</v>
      </c>
      <c r="F1827" s="375">
        <f t="shared" si="91"/>
        <v>346.07</v>
      </c>
      <c r="G1827" s="1"/>
      <c r="H1827" s="389"/>
      <c r="I1827" s="388"/>
      <c r="J1827" s="388"/>
      <c r="K1827" s="388"/>
      <c r="L1827" s="388"/>
      <c r="M1827" s="390"/>
      <c r="N1827" s="390"/>
    </row>
    <row r="1828" spans="1:14" ht="14.1" customHeight="1">
      <c r="A1828" s="480">
        <v>4</v>
      </c>
      <c r="B1828" s="387" t="s">
        <v>1102</v>
      </c>
      <c r="C1828" s="305" t="s">
        <v>1026</v>
      </c>
      <c r="D1828" s="392">
        <v>1</v>
      </c>
      <c r="E1828" s="18">
        <f>SUM(F1825:F1827)*0.3</f>
        <v>387.65399999999994</v>
      </c>
      <c r="F1828" s="375">
        <f t="shared" si="91"/>
        <v>387.65</v>
      </c>
      <c r="G1828" s="1"/>
      <c r="H1828" s="389"/>
      <c r="I1828" s="388"/>
      <c r="J1828" s="388"/>
      <c r="K1828" s="388"/>
      <c r="L1828" s="388"/>
      <c r="M1828" s="390"/>
      <c r="N1828" s="390"/>
    </row>
    <row r="1829" spans="1:14" ht="14.1" customHeight="1">
      <c r="A1829" s="480">
        <v>5</v>
      </c>
      <c r="B1829" s="387"/>
      <c r="C1829" s="385"/>
      <c r="D1829" s="385"/>
      <c r="E1829" s="18"/>
      <c r="F1829" s="375">
        <f t="shared" si="91"/>
        <v>0</v>
      </c>
      <c r="G1829" s="1"/>
      <c r="H1829" s="389"/>
      <c r="I1829" s="388"/>
      <c r="J1829" s="388"/>
      <c r="K1829" s="388"/>
      <c r="L1829" s="388"/>
      <c r="M1829" s="390"/>
      <c r="N1829" s="390"/>
    </row>
    <row r="1830" spans="1:14" ht="14.1" customHeight="1">
      <c r="A1830" s="480">
        <v>6</v>
      </c>
      <c r="B1830" s="391"/>
      <c r="C1830" s="385"/>
      <c r="D1830" s="385"/>
      <c r="E1830" s="18"/>
      <c r="F1830" s="375">
        <f t="shared" si="91"/>
        <v>0</v>
      </c>
      <c r="G1830" s="1"/>
      <c r="H1830" s="389"/>
      <c r="I1830" s="388"/>
      <c r="J1830" s="388"/>
      <c r="K1830" s="388"/>
      <c r="L1830" s="388"/>
      <c r="M1830" s="390"/>
      <c r="N1830" s="390"/>
    </row>
    <row r="1831" spans="1:14" ht="14.1" customHeight="1">
      <c r="A1831" s="480">
        <v>7</v>
      </c>
      <c r="B1831" s="384"/>
      <c r="C1831" s="305"/>
      <c r="D1831" s="385"/>
      <c r="E1831" s="18"/>
      <c r="F1831" s="375">
        <f t="shared" si="91"/>
        <v>0</v>
      </c>
      <c r="G1831" s="1"/>
      <c r="H1831" s="389"/>
      <c r="I1831" s="388"/>
      <c r="J1831" s="388"/>
      <c r="K1831" s="388"/>
      <c r="L1831" s="388"/>
      <c r="M1831" s="390"/>
      <c r="N1831" s="390"/>
    </row>
    <row r="1832" spans="1:14" ht="14.1" customHeight="1">
      <c r="A1832" s="480">
        <v>8</v>
      </c>
      <c r="B1832" s="13"/>
      <c r="C1832" s="11"/>
      <c r="D1832" s="14"/>
      <c r="E1832" s="18"/>
      <c r="F1832" s="375">
        <f t="shared" si="91"/>
        <v>0</v>
      </c>
      <c r="G1832" s="1"/>
      <c r="H1832" s="389"/>
      <c r="I1832" s="389"/>
      <c r="J1832" s="389"/>
      <c r="K1832" s="389"/>
      <c r="L1832" s="389"/>
      <c r="M1832" s="389"/>
      <c r="N1832" s="389"/>
    </row>
    <row r="1833" spans="1:14" ht="14.1" customHeight="1">
      <c r="A1833" s="480">
        <v>9</v>
      </c>
      <c r="B1833" s="220"/>
      <c r="C1833" s="334"/>
      <c r="D1833" s="14"/>
      <c r="E1833" s="18"/>
      <c r="F1833" s="375">
        <f t="shared" si="91"/>
        <v>0</v>
      </c>
      <c r="G1833" s="1"/>
      <c r="H1833" s="389"/>
      <c r="I1833" s="389"/>
      <c r="J1833" s="389"/>
      <c r="K1833" s="389"/>
      <c r="L1833" s="389"/>
      <c r="M1833" s="389"/>
      <c r="N1833" s="389"/>
    </row>
    <row r="1834" spans="1:14" ht="14.1" customHeight="1">
      <c r="A1834" s="480">
        <v>10</v>
      </c>
      <c r="B1834" s="201"/>
      <c r="C1834" s="11"/>
      <c r="D1834" s="14"/>
      <c r="E1834" s="18"/>
      <c r="F1834" s="375">
        <f t="shared" si="91"/>
        <v>0</v>
      </c>
      <c r="G1834" s="1"/>
    </row>
    <row r="1835" spans="1:14" ht="14.1" customHeight="1">
      <c r="A1835" s="480">
        <v>11</v>
      </c>
      <c r="B1835" s="13"/>
      <c r="C1835" s="11"/>
      <c r="D1835" s="14"/>
      <c r="E1835" s="18"/>
      <c r="F1835" s="375">
        <f t="shared" si="91"/>
        <v>0</v>
      </c>
      <c r="G1835" s="1"/>
    </row>
    <row r="1836" spans="1:14" ht="14.1" customHeight="1" thickBot="1">
      <c r="A1836" s="480">
        <v>12</v>
      </c>
      <c r="B1836" s="13"/>
      <c r="C1836" s="11"/>
      <c r="D1836" s="11"/>
      <c r="E1836" s="18"/>
      <c r="F1836" s="375">
        <f t="shared" si="91"/>
        <v>0</v>
      </c>
      <c r="G1836" s="1"/>
    </row>
    <row r="1837" spans="1:14" ht="14.1" customHeight="1" thickBot="1">
      <c r="A1837" s="481"/>
      <c r="B1837" s="5"/>
      <c r="C1837" s="367"/>
      <c r="D1837" s="367"/>
      <c r="E1837" s="367" t="s">
        <v>151</v>
      </c>
      <c r="F1837" s="376">
        <f>SUM(F1825:F1836)</f>
        <v>1679.83</v>
      </c>
      <c r="G1837" s="1"/>
    </row>
    <row r="1838" spans="1:14" ht="14.1" customHeight="1">
      <c r="A1838" s="482"/>
      <c r="B1838" s="333"/>
      <c r="C1838" s="336"/>
      <c r="D1838" s="336"/>
      <c r="E1838" s="336"/>
      <c r="F1838" s="336"/>
      <c r="G1838" s="1"/>
    </row>
    <row r="1839" spans="1:14" ht="14.1" customHeight="1">
      <c r="A1839" s="625" t="s">
        <v>152</v>
      </c>
      <c r="B1839" s="625"/>
      <c r="C1839" s="625"/>
      <c r="D1839" s="625"/>
      <c r="E1839" s="625"/>
      <c r="F1839" s="625"/>
      <c r="G1839" s="1"/>
    </row>
    <row r="1840" spans="1:14" ht="14.1" customHeight="1">
      <c r="A1840" s="482"/>
      <c r="B1840" s="333"/>
      <c r="C1840" s="336"/>
      <c r="D1840" s="336"/>
      <c r="E1840" s="336"/>
      <c r="F1840" s="367"/>
      <c r="G1840" s="1"/>
    </row>
    <row r="1841" spans="1:7" ht="14.1" customHeight="1">
      <c r="A1841" s="480">
        <v>13</v>
      </c>
      <c r="B1841" s="17" t="s">
        <v>153</v>
      </c>
      <c r="C1841" s="11" t="s">
        <v>154</v>
      </c>
      <c r="D1841" s="382">
        <v>24</v>
      </c>
      <c r="E1841" s="18">
        <f>'Mano de obra'!$J$20</f>
        <v>82.610000000000014</v>
      </c>
      <c r="F1841" s="375">
        <f>ROUND(D1841*E1841, 2)</f>
        <v>1982.64</v>
      </c>
      <c r="G1841" s="1"/>
    </row>
    <row r="1842" spans="1:7" ht="14.1" customHeight="1">
      <c r="A1842" s="480">
        <v>14</v>
      </c>
      <c r="B1842" s="17" t="s">
        <v>155</v>
      </c>
      <c r="C1842" s="11" t="s">
        <v>154</v>
      </c>
      <c r="D1842" s="382">
        <v>8</v>
      </c>
      <c r="E1842" s="18">
        <f>'Mano de obra'!$J$21</f>
        <v>70.38</v>
      </c>
      <c r="F1842" s="375">
        <f t="shared" ref="F1842:F1845" si="92">ROUND(D1842*E1842, 2)</f>
        <v>563.04</v>
      </c>
      <c r="G1842" s="1"/>
    </row>
    <row r="1843" spans="1:7" ht="14.1" customHeight="1">
      <c r="A1843" s="480">
        <v>15</v>
      </c>
      <c r="B1843" s="17" t="s">
        <v>156</v>
      </c>
      <c r="C1843" s="11" t="s">
        <v>154</v>
      </c>
      <c r="D1843" s="382"/>
      <c r="E1843" s="18">
        <f>'Mano de obra'!$J$22</f>
        <v>64.78</v>
      </c>
      <c r="F1843" s="375">
        <f t="shared" si="92"/>
        <v>0</v>
      </c>
      <c r="G1843" s="1"/>
    </row>
    <row r="1844" spans="1:7" ht="14.1" customHeight="1">
      <c r="A1844" s="480">
        <v>16</v>
      </c>
      <c r="B1844" s="17" t="s">
        <v>157</v>
      </c>
      <c r="C1844" s="11" t="s">
        <v>154</v>
      </c>
      <c r="D1844" s="382">
        <v>32</v>
      </c>
      <c r="E1844" s="18">
        <f>'Mano de obra'!$J$23</f>
        <v>59.800000000000004</v>
      </c>
      <c r="F1844" s="375">
        <f t="shared" si="92"/>
        <v>1913.6</v>
      </c>
      <c r="G1844" s="1"/>
    </row>
    <row r="1845" spans="1:7" ht="14.1" customHeight="1" thickBot="1">
      <c r="A1845" s="480">
        <v>17</v>
      </c>
      <c r="B1845" s="13"/>
      <c r="C1845" s="11"/>
      <c r="D1845" s="11"/>
      <c r="E1845" s="18"/>
      <c r="F1845" s="375">
        <f t="shared" si="92"/>
        <v>0</v>
      </c>
      <c r="G1845" s="1"/>
    </row>
    <row r="1846" spans="1:7" ht="14.1" customHeight="1" thickBot="1">
      <c r="A1846" s="483"/>
      <c r="B1846" s="333"/>
      <c r="C1846" s="336"/>
      <c r="D1846" s="336"/>
      <c r="E1846" s="367" t="s">
        <v>158</v>
      </c>
      <c r="F1846" s="376">
        <f>SUM(F1841:F1845)</f>
        <v>4459.2800000000007</v>
      </c>
      <c r="G1846" s="1"/>
    </row>
    <row r="1847" spans="1:7" ht="14.1" customHeight="1" thickBot="1">
      <c r="A1847" s="484"/>
      <c r="B1847" s="333"/>
      <c r="C1847" s="336"/>
      <c r="D1847" s="336"/>
      <c r="E1847" s="336"/>
      <c r="F1847" s="367"/>
      <c r="G1847" s="1"/>
    </row>
    <row r="1848" spans="1:7" ht="14.1" customHeight="1" thickBot="1">
      <c r="A1848" s="480"/>
      <c r="B1848" s="142" t="s">
        <v>273</v>
      </c>
      <c r="C1848" s="369"/>
      <c r="D1848" s="369"/>
      <c r="E1848" s="377" t="s">
        <v>159</v>
      </c>
      <c r="F1848" s="376">
        <f>SUM(F1837+F1846)</f>
        <v>6139.1100000000006</v>
      </c>
      <c r="G1848" s="1"/>
    </row>
    <row r="1849" spans="1:7" ht="15" customHeight="1">
      <c r="A1849" s="626"/>
      <c r="B1849" s="627" t="s">
        <v>274</v>
      </c>
      <c r="C1849" s="628"/>
      <c r="D1849" s="628"/>
      <c r="E1849" s="629" t="s">
        <v>275</v>
      </c>
      <c r="F1849" s="631">
        <f>ROUND(F1848*'Coef. resumen'!$F$23, 2)</f>
        <v>9098.16</v>
      </c>
    </row>
    <row r="1850" spans="1:7" ht="15" customHeight="1" thickBot="1">
      <c r="A1850" s="626"/>
      <c r="B1850" s="627"/>
      <c r="C1850" s="628"/>
      <c r="D1850" s="628"/>
      <c r="E1850" s="630"/>
      <c r="F1850" s="632"/>
    </row>
    <row r="1851" spans="1:7" ht="15">
      <c r="A1851" s="471"/>
      <c r="B1851" s="2"/>
      <c r="C1851" s="337"/>
      <c r="D1851" s="337"/>
      <c r="E1851" s="337"/>
      <c r="F1851" s="337"/>
    </row>
    <row r="1852" spans="1:7" ht="15">
      <c r="A1852" s="471"/>
      <c r="B1852" s="2"/>
      <c r="C1852" s="337"/>
      <c r="D1852" s="337"/>
      <c r="E1852" s="337"/>
      <c r="F1852" s="337"/>
    </row>
    <row r="1853" spans="1:7" ht="15">
      <c r="A1853" s="471"/>
      <c r="B1853" s="194" t="str">
        <f>'Coef. resumen'!$B$30</f>
        <v>Julián Antonelli</v>
      </c>
      <c r="C1853" s="524"/>
      <c r="D1853" s="524"/>
      <c r="E1853" s="194" t="str">
        <f>'Coef. resumen'!$E$30</f>
        <v>Marcelo A. Pasquini</v>
      </c>
      <c r="F1853" s="337"/>
    </row>
    <row r="1854" spans="1:7" ht="15">
      <c r="A1854" s="471"/>
      <c r="B1854" s="194" t="str">
        <f>'Coef. resumen'!$B$31</f>
        <v>Ing. Civil M.P. 2161</v>
      </c>
      <c r="C1854" s="524"/>
      <c r="D1854" s="524"/>
      <c r="E1854" s="194" t="str">
        <f>'Coef. resumen'!$E$31</f>
        <v>Socio Gerente</v>
      </c>
      <c r="F1854" s="337"/>
    </row>
    <row r="1855" spans="1:7" ht="15">
      <c r="A1855" s="471"/>
      <c r="B1855" s="194" t="str">
        <f>'Coef. resumen'!$B$32</f>
        <v>Representante Técnico</v>
      </c>
      <c r="C1855" s="524"/>
      <c r="D1855" s="19"/>
      <c r="E1855" s="194" t="str">
        <f>'Coef. resumen'!$E$32</f>
        <v>Pasquini Construcciones SRL</v>
      </c>
      <c r="F1855" s="337"/>
    </row>
    <row r="1856" spans="1:7" ht="15">
      <c r="A1856" s="471"/>
      <c r="B1856" s="194"/>
      <c r="C1856" s="337"/>
      <c r="D1856" s="19"/>
      <c r="E1856" s="194"/>
      <c r="F1856" s="337"/>
    </row>
    <row r="1857" spans="1:14" ht="14.1" customHeight="1">
      <c r="A1857" s="477" t="s">
        <v>142</v>
      </c>
      <c r="B1857" s="613" t="str">
        <f>Presupuesto!B76</f>
        <v>Excavación y tapado de zanja para red de cloacal</v>
      </c>
      <c r="C1857" s="614"/>
      <c r="D1857" s="615"/>
      <c r="E1857" s="367" t="s">
        <v>143</v>
      </c>
      <c r="F1857" s="30" t="str">
        <f>Presupuesto!C76</f>
        <v>m3</v>
      </c>
      <c r="G1857" s="1"/>
    </row>
    <row r="1858" spans="1:14" ht="14.1" customHeight="1">
      <c r="A1858" s="622" t="str">
        <f>Presupuesto!A76</f>
        <v>2.1.1</v>
      </c>
      <c r="B1858" s="616"/>
      <c r="C1858" s="617"/>
      <c r="D1858" s="618"/>
      <c r="E1858" s="367"/>
      <c r="F1858" s="367"/>
      <c r="G1858" s="1"/>
    </row>
    <row r="1859" spans="1:14" ht="14.1" customHeight="1">
      <c r="A1859" s="622"/>
      <c r="B1859" s="616"/>
      <c r="C1859" s="617"/>
      <c r="D1859" s="618"/>
      <c r="E1859" s="367"/>
      <c r="F1859" s="367"/>
      <c r="G1859" s="1"/>
    </row>
    <row r="1860" spans="1:14" ht="14.1" customHeight="1">
      <c r="A1860" s="623"/>
      <c r="B1860" s="619"/>
      <c r="C1860" s="620"/>
      <c r="D1860" s="621"/>
      <c r="E1860" s="367"/>
      <c r="F1860" s="367"/>
      <c r="G1860" s="1"/>
    </row>
    <row r="1861" spans="1:14" ht="14.1" customHeight="1">
      <c r="A1861" s="478"/>
      <c r="B1861" s="29"/>
      <c r="C1861" s="368"/>
      <c r="D1861" s="368"/>
      <c r="E1861" s="365"/>
      <c r="F1861" s="365"/>
      <c r="G1861" s="1"/>
    </row>
    <row r="1862" spans="1:14" ht="14.1" customHeight="1">
      <c r="A1862" s="624" t="s">
        <v>144</v>
      </c>
      <c r="B1862" s="624"/>
      <c r="C1862" s="624"/>
      <c r="D1862" s="624"/>
      <c r="E1862" s="624"/>
      <c r="F1862" s="624"/>
      <c r="G1862" s="1"/>
    </row>
    <row r="1863" spans="1:14" ht="14.1" customHeight="1">
      <c r="A1863" s="479"/>
      <c r="B1863" s="10"/>
      <c r="C1863" s="395"/>
      <c r="D1863" s="395"/>
      <c r="E1863" s="395"/>
      <c r="F1863" s="395"/>
      <c r="G1863" s="1"/>
    </row>
    <row r="1864" spans="1:14" ht="15.95" customHeight="1">
      <c r="A1864" s="480" t="s">
        <v>145</v>
      </c>
      <c r="B1864" s="11" t="s">
        <v>146</v>
      </c>
      <c r="C1864" s="11" t="s">
        <v>147</v>
      </c>
      <c r="D1864" s="11" t="s">
        <v>148</v>
      </c>
      <c r="E1864" s="12" t="s">
        <v>149</v>
      </c>
      <c r="F1864" s="11" t="s">
        <v>150</v>
      </c>
      <c r="G1864" s="1"/>
      <c r="H1864" s="389"/>
      <c r="I1864" s="389"/>
      <c r="J1864" s="389"/>
      <c r="K1864" s="389"/>
      <c r="L1864" s="389"/>
      <c r="M1864" s="389"/>
      <c r="N1864" s="389"/>
    </row>
    <row r="1865" spans="1:14" ht="14.1" customHeight="1">
      <c r="A1865" s="480">
        <v>1</v>
      </c>
      <c r="B1865" s="220" t="s">
        <v>322</v>
      </c>
      <c r="C1865" s="221" t="s">
        <v>11</v>
      </c>
      <c r="D1865" s="221">
        <v>1</v>
      </c>
      <c r="E1865" s="18">
        <v>5</v>
      </c>
      <c r="F1865" s="375">
        <f>ROUND(D1865*E1865, 2)</f>
        <v>5</v>
      </c>
      <c r="G1865" s="1"/>
      <c r="H1865" s="389"/>
      <c r="I1865" s="389"/>
      <c r="J1865" s="389"/>
      <c r="K1865" s="389"/>
      <c r="L1865" s="389"/>
      <c r="M1865" s="389"/>
      <c r="N1865" s="389"/>
    </row>
    <row r="1866" spans="1:14" ht="14.1" customHeight="1">
      <c r="A1866" s="480">
        <v>2</v>
      </c>
      <c r="B1866" s="222" t="s">
        <v>323</v>
      </c>
      <c r="C1866" s="223" t="s">
        <v>329</v>
      </c>
      <c r="D1866" s="224">
        <v>1.2</v>
      </c>
      <c r="E1866" s="18">
        <f>'MAT 31-10-2013'!R$80</f>
        <v>6.75</v>
      </c>
      <c r="F1866" s="375">
        <f t="shared" ref="F1866:F1876" si="93">ROUND(D1866*E1866, 2)</f>
        <v>8.1</v>
      </c>
      <c r="G1866" s="1"/>
      <c r="H1866" s="389"/>
      <c r="I1866" s="388"/>
      <c r="J1866" s="388"/>
      <c r="K1866" s="388"/>
      <c r="L1866" s="388"/>
      <c r="M1866" s="390"/>
      <c r="N1866" s="390"/>
    </row>
    <row r="1867" spans="1:14" ht="14.1" customHeight="1">
      <c r="A1867" s="480">
        <v>3</v>
      </c>
      <c r="B1867" s="220" t="s">
        <v>328</v>
      </c>
      <c r="C1867" s="224" t="s">
        <v>53</v>
      </c>
      <c r="D1867" s="224">
        <f>0.2*0.3*1</f>
        <v>0.06</v>
      </c>
      <c r="E1867" s="18">
        <f>'MAT 31-10-2013'!R$5</f>
        <v>39.059027777777771</v>
      </c>
      <c r="F1867" s="375">
        <f t="shared" si="93"/>
        <v>2.34</v>
      </c>
      <c r="G1867" s="1"/>
      <c r="H1867" s="389"/>
      <c r="I1867" s="388"/>
      <c r="J1867" s="388"/>
      <c r="K1867" s="388"/>
      <c r="L1867" s="388"/>
      <c r="M1867" s="390"/>
      <c r="N1867" s="390"/>
    </row>
    <row r="1868" spans="1:14" ht="14.1" customHeight="1">
      <c r="A1868" s="480">
        <v>4</v>
      </c>
      <c r="B1868" s="220" t="s">
        <v>324</v>
      </c>
      <c r="C1868" s="406" t="s">
        <v>325</v>
      </c>
      <c r="D1868" s="224">
        <v>0.12</v>
      </c>
      <c r="E1868" s="18">
        <f>Equipos!S$21</f>
        <v>236.27157024793388</v>
      </c>
      <c r="F1868" s="375">
        <f t="shared" si="93"/>
        <v>28.35</v>
      </c>
      <c r="G1868" s="1"/>
      <c r="H1868" s="389"/>
      <c r="I1868" s="388"/>
      <c r="J1868" s="388"/>
      <c r="K1868" s="388"/>
      <c r="L1868" s="388"/>
      <c r="M1868" s="390"/>
      <c r="N1868" s="390"/>
    </row>
    <row r="1869" spans="1:14" ht="14.1" customHeight="1">
      <c r="A1869" s="480">
        <v>5</v>
      </c>
      <c r="B1869" s="220" t="s">
        <v>1010</v>
      </c>
      <c r="C1869" s="406" t="s">
        <v>325</v>
      </c>
      <c r="D1869" s="224">
        <v>0.06</v>
      </c>
      <c r="E1869" s="18">
        <f>Equipos!S$20</f>
        <v>132.98876033057851</v>
      </c>
      <c r="F1869" s="375">
        <f t="shared" si="93"/>
        <v>7.98</v>
      </c>
      <c r="G1869" s="1"/>
      <c r="H1869" s="389"/>
      <c r="I1869" s="388"/>
      <c r="J1869" s="388"/>
      <c r="K1869" s="388"/>
      <c r="L1869" s="388"/>
      <c r="M1869" s="390"/>
      <c r="N1869" s="390"/>
    </row>
    <row r="1870" spans="1:14" ht="14.1" customHeight="1">
      <c r="A1870" s="480">
        <v>6</v>
      </c>
      <c r="B1870" s="220" t="s">
        <v>265</v>
      </c>
      <c r="C1870" s="406" t="s">
        <v>325</v>
      </c>
      <c r="D1870" s="224">
        <v>0.06</v>
      </c>
      <c r="E1870" s="18">
        <f>Equipos!S$36</f>
        <v>3.5183305785123968</v>
      </c>
      <c r="F1870" s="375">
        <f t="shared" si="93"/>
        <v>0.21</v>
      </c>
      <c r="G1870" s="1"/>
      <c r="H1870" s="389"/>
      <c r="I1870" s="388"/>
      <c r="J1870" s="388"/>
      <c r="K1870" s="388"/>
      <c r="L1870" s="388"/>
      <c r="M1870" s="390"/>
      <c r="N1870" s="390"/>
    </row>
    <row r="1871" spans="1:14" ht="14.1" customHeight="1">
      <c r="A1871" s="480">
        <v>7</v>
      </c>
      <c r="B1871" s="220" t="s">
        <v>326</v>
      </c>
      <c r="C1871" s="406" t="s">
        <v>325</v>
      </c>
      <c r="D1871" s="224">
        <v>0.06</v>
      </c>
      <c r="E1871" s="18">
        <f>Equipos!S$19</f>
        <v>256.28945454545453</v>
      </c>
      <c r="F1871" s="375">
        <f t="shared" si="93"/>
        <v>15.38</v>
      </c>
      <c r="G1871" s="1"/>
      <c r="H1871" s="389"/>
      <c r="I1871" s="388"/>
      <c r="J1871" s="388"/>
      <c r="K1871" s="388"/>
      <c r="L1871" s="388"/>
      <c r="M1871" s="390"/>
      <c r="N1871" s="390"/>
    </row>
    <row r="1872" spans="1:14" ht="14.1" customHeight="1">
      <c r="A1872" s="480">
        <v>8</v>
      </c>
      <c r="B1872" s="220" t="s">
        <v>327</v>
      </c>
      <c r="C1872" s="406" t="s">
        <v>325</v>
      </c>
      <c r="D1872" s="224">
        <v>0.02</v>
      </c>
      <c r="E1872" s="18">
        <f>Equipos!S$24</f>
        <v>302.32601652892561</v>
      </c>
      <c r="F1872" s="375">
        <f t="shared" si="93"/>
        <v>6.05</v>
      </c>
      <c r="G1872" s="1"/>
      <c r="H1872" s="389"/>
      <c r="I1872" s="389"/>
      <c r="J1872" s="389"/>
      <c r="K1872" s="389"/>
      <c r="L1872" s="389"/>
      <c r="M1872" s="389"/>
      <c r="N1872" s="389"/>
    </row>
    <row r="1873" spans="1:14" ht="14.1" customHeight="1">
      <c r="A1873" s="480">
        <v>9</v>
      </c>
      <c r="B1873" s="220" t="s">
        <v>260</v>
      </c>
      <c r="C1873" s="406" t="s">
        <v>325</v>
      </c>
      <c r="D1873" s="224">
        <v>0.1</v>
      </c>
      <c r="E1873" s="18">
        <f>Equipos!S$32</f>
        <v>8.1039256198347118</v>
      </c>
      <c r="F1873" s="375">
        <f t="shared" si="93"/>
        <v>0.81</v>
      </c>
      <c r="G1873" s="1"/>
      <c r="H1873" s="389"/>
      <c r="I1873" s="389"/>
      <c r="J1873" s="389"/>
      <c r="K1873" s="389"/>
      <c r="L1873" s="389"/>
      <c r="M1873" s="389"/>
      <c r="N1873" s="389"/>
    </row>
    <row r="1874" spans="1:14" ht="14.1" customHeight="1">
      <c r="A1874" s="480">
        <v>10</v>
      </c>
      <c r="B1874" s="13"/>
      <c r="C1874" s="11"/>
      <c r="D1874" s="14"/>
      <c r="E1874" s="18"/>
      <c r="F1874" s="375">
        <f t="shared" si="93"/>
        <v>0</v>
      </c>
      <c r="G1874" s="1"/>
    </row>
    <row r="1875" spans="1:14" ht="14.1" customHeight="1">
      <c r="A1875" s="480">
        <v>11</v>
      </c>
      <c r="B1875" s="13"/>
      <c r="C1875" s="11"/>
      <c r="D1875" s="11"/>
      <c r="E1875" s="18"/>
      <c r="F1875" s="375">
        <f t="shared" si="93"/>
        <v>0</v>
      </c>
      <c r="G1875" s="1"/>
    </row>
    <row r="1876" spans="1:14" ht="14.1" customHeight="1" thickBot="1">
      <c r="A1876" s="480">
        <v>12</v>
      </c>
      <c r="B1876" s="13"/>
      <c r="C1876" s="11"/>
      <c r="D1876" s="11"/>
      <c r="E1876" s="18"/>
      <c r="F1876" s="375">
        <f t="shared" si="93"/>
        <v>0</v>
      </c>
      <c r="G1876" s="1"/>
    </row>
    <row r="1877" spans="1:14" ht="14.1" customHeight="1" thickBot="1">
      <c r="A1877" s="481"/>
      <c r="B1877" s="5"/>
      <c r="C1877" s="367"/>
      <c r="D1877" s="367"/>
      <c r="E1877" s="367" t="s">
        <v>151</v>
      </c>
      <c r="F1877" s="376">
        <f>SUM(F1865:F1876)</f>
        <v>74.22</v>
      </c>
      <c r="G1877" s="1"/>
    </row>
    <row r="1878" spans="1:14" ht="14.1" customHeight="1">
      <c r="A1878" s="482"/>
      <c r="B1878" s="405"/>
      <c r="C1878" s="409"/>
      <c r="D1878" s="409"/>
      <c r="E1878" s="409"/>
      <c r="F1878" s="409"/>
      <c r="G1878" s="1"/>
    </row>
    <row r="1879" spans="1:14" ht="14.1" customHeight="1">
      <c r="A1879" s="625" t="s">
        <v>152</v>
      </c>
      <c r="B1879" s="625"/>
      <c r="C1879" s="625"/>
      <c r="D1879" s="625"/>
      <c r="E1879" s="625"/>
      <c r="F1879" s="625"/>
      <c r="G1879" s="1"/>
    </row>
    <row r="1880" spans="1:14" ht="14.1" customHeight="1">
      <c r="A1880" s="482"/>
      <c r="B1880" s="405"/>
      <c r="C1880" s="409"/>
      <c r="D1880" s="409"/>
      <c r="E1880" s="409"/>
      <c r="F1880" s="367"/>
      <c r="G1880" s="1"/>
    </row>
    <row r="1881" spans="1:14" ht="14.1" customHeight="1">
      <c r="A1881" s="480">
        <v>13</v>
      </c>
      <c r="B1881" s="17" t="s">
        <v>153</v>
      </c>
      <c r="C1881" s="11" t="s">
        <v>154</v>
      </c>
      <c r="D1881" s="14">
        <f>D1868+D1869+D1871+D1872</f>
        <v>0.26</v>
      </c>
      <c r="E1881" s="18">
        <f>'Mano de obra'!$J$20</f>
        <v>82.610000000000014</v>
      </c>
      <c r="F1881" s="375">
        <f>ROUND(D1881*E1881, 2)</f>
        <v>21.48</v>
      </c>
      <c r="G1881" s="1"/>
    </row>
    <row r="1882" spans="1:14" ht="14.1" customHeight="1">
      <c r="A1882" s="480">
        <v>14</v>
      </c>
      <c r="B1882" s="17" t="s">
        <v>155</v>
      </c>
      <c r="C1882" s="11" t="s">
        <v>154</v>
      </c>
      <c r="D1882" s="14">
        <v>0.1</v>
      </c>
      <c r="E1882" s="18">
        <f>'Mano de obra'!$J$21</f>
        <v>70.38</v>
      </c>
      <c r="F1882" s="375">
        <f t="shared" ref="F1882:F1885" si="94">ROUND(D1882*E1882, 2)</f>
        <v>7.04</v>
      </c>
      <c r="G1882" s="1"/>
    </row>
    <row r="1883" spans="1:14" ht="14.1" customHeight="1">
      <c r="A1883" s="480">
        <v>15</v>
      </c>
      <c r="B1883" s="17" t="s">
        <v>156</v>
      </c>
      <c r="C1883" s="11" t="s">
        <v>154</v>
      </c>
      <c r="D1883" s="14"/>
      <c r="E1883" s="18">
        <f>'Mano de obra'!$J$22</f>
        <v>64.78</v>
      </c>
      <c r="F1883" s="375">
        <f t="shared" si="94"/>
        <v>0</v>
      </c>
      <c r="G1883" s="1"/>
    </row>
    <row r="1884" spans="1:14" ht="14.1" customHeight="1">
      <c r="A1884" s="480">
        <v>16</v>
      </c>
      <c r="B1884" s="17" t="s">
        <v>157</v>
      </c>
      <c r="C1884" s="11" t="s">
        <v>154</v>
      </c>
      <c r="D1884" s="14">
        <v>0.1</v>
      </c>
      <c r="E1884" s="18">
        <f>'Mano de obra'!$J$23</f>
        <v>59.800000000000004</v>
      </c>
      <c r="F1884" s="375">
        <f t="shared" si="94"/>
        <v>5.98</v>
      </c>
      <c r="G1884" s="1"/>
    </row>
    <row r="1885" spans="1:14" ht="14.1" customHeight="1" thickBot="1">
      <c r="A1885" s="480">
        <v>17</v>
      </c>
      <c r="B1885" s="13"/>
      <c r="C1885" s="11"/>
      <c r="D1885" s="11"/>
      <c r="E1885" s="18"/>
      <c r="F1885" s="375">
        <f t="shared" si="94"/>
        <v>0</v>
      </c>
      <c r="G1885" s="1"/>
    </row>
    <row r="1886" spans="1:14" ht="14.1" customHeight="1" thickBot="1">
      <c r="A1886" s="483"/>
      <c r="B1886" s="405"/>
      <c r="C1886" s="409"/>
      <c r="D1886" s="409"/>
      <c r="E1886" s="367" t="s">
        <v>158</v>
      </c>
      <c r="F1886" s="376">
        <f>SUM(F1881:F1885)</f>
        <v>34.5</v>
      </c>
      <c r="G1886" s="1"/>
    </row>
    <row r="1887" spans="1:14" ht="14.1" customHeight="1" thickBot="1">
      <c r="A1887" s="484"/>
      <c r="B1887" s="405"/>
      <c r="C1887" s="409"/>
      <c r="D1887" s="409"/>
      <c r="E1887" s="409"/>
      <c r="F1887" s="367"/>
      <c r="G1887" s="1"/>
    </row>
    <row r="1888" spans="1:14" ht="14.1" customHeight="1" thickBot="1">
      <c r="A1888" s="480"/>
      <c r="B1888" s="142" t="s">
        <v>273</v>
      </c>
      <c r="C1888" s="369"/>
      <c r="D1888" s="369"/>
      <c r="E1888" s="377" t="s">
        <v>159</v>
      </c>
      <c r="F1888" s="376">
        <f>SUM(F1877+F1886)</f>
        <v>108.72</v>
      </c>
      <c r="G1888" s="1"/>
    </row>
    <row r="1889" spans="1:7" ht="15" customHeight="1">
      <c r="A1889" s="626"/>
      <c r="B1889" s="627" t="s">
        <v>274</v>
      </c>
      <c r="C1889" s="628"/>
      <c r="D1889" s="628"/>
      <c r="E1889" s="629" t="s">
        <v>275</v>
      </c>
      <c r="F1889" s="631">
        <f>ROUND(F1888*'Coef. resumen'!$F$23, 2)</f>
        <v>161.12</v>
      </c>
    </row>
    <row r="1890" spans="1:7" ht="15" customHeight="1" thickBot="1">
      <c r="A1890" s="626"/>
      <c r="B1890" s="627"/>
      <c r="C1890" s="628"/>
      <c r="D1890" s="628"/>
      <c r="E1890" s="630"/>
      <c r="F1890" s="632"/>
    </row>
    <row r="1891" spans="1:7" ht="15">
      <c r="A1891" s="471"/>
      <c r="B1891" s="2"/>
      <c r="C1891" s="397"/>
      <c r="D1891" s="397"/>
      <c r="E1891" s="397"/>
      <c r="F1891" s="397"/>
    </row>
    <row r="1892" spans="1:7" ht="15">
      <c r="A1892" s="471"/>
      <c r="B1892" s="2"/>
      <c r="C1892" s="397"/>
      <c r="D1892" s="397"/>
      <c r="E1892" s="397"/>
      <c r="F1892" s="397"/>
    </row>
    <row r="1893" spans="1:7" ht="15">
      <c r="A1893" s="471"/>
      <c r="B1893" s="194" t="str">
        <f>'Coef. resumen'!$B$30</f>
        <v>Julián Antonelli</v>
      </c>
      <c r="C1893" s="524"/>
      <c r="D1893" s="524"/>
      <c r="E1893" s="194" t="str">
        <f>'Coef. resumen'!$E$30</f>
        <v>Marcelo A. Pasquini</v>
      </c>
      <c r="F1893" s="397"/>
    </row>
    <row r="1894" spans="1:7" ht="15">
      <c r="A1894" s="471"/>
      <c r="B1894" s="194" t="str">
        <f>'Coef. resumen'!$B$31</f>
        <v>Ing. Civil M.P. 2161</v>
      </c>
      <c r="C1894" s="524"/>
      <c r="D1894" s="524"/>
      <c r="E1894" s="194" t="str">
        <f>'Coef. resumen'!$E$31</f>
        <v>Socio Gerente</v>
      </c>
      <c r="F1894" s="397"/>
    </row>
    <row r="1895" spans="1:7" ht="15">
      <c r="A1895" s="471"/>
      <c r="B1895" s="194" t="str">
        <f>'Coef. resumen'!$B$32</f>
        <v>Representante Técnico</v>
      </c>
      <c r="C1895" s="524"/>
      <c r="D1895" s="19"/>
      <c r="E1895" s="194" t="str">
        <f>'Coef. resumen'!$E$32</f>
        <v>Pasquini Construcciones SRL</v>
      </c>
      <c r="F1895" s="397"/>
    </row>
    <row r="1896" spans="1:7" ht="15">
      <c r="A1896" s="471"/>
      <c r="B1896" s="194"/>
      <c r="C1896" s="397"/>
      <c r="D1896" s="19"/>
      <c r="E1896" s="194"/>
      <c r="F1896" s="397"/>
    </row>
    <row r="1897" spans="1:7" ht="14.1" customHeight="1">
      <c r="A1897" s="477" t="s">
        <v>142</v>
      </c>
      <c r="B1897" s="613" t="str">
        <f>Presupuesto!B77</f>
        <v>Provisión y colocación de cañería de PVCø 200mm</v>
      </c>
      <c r="C1897" s="614"/>
      <c r="D1897" s="615"/>
      <c r="E1897" s="367" t="s">
        <v>143</v>
      </c>
      <c r="F1897" s="30" t="str">
        <f>Presupuesto!C77</f>
        <v>ml</v>
      </c>
      <c r="G1897" s="1"/>
    </row>
    <row r="1898" spans="1:7" ht="14.1" customHeight="1">
      <c r="A1898" s="622" t="str">
        <f>Presupuesto!A77</f>
        <v>2.1.2</v>
      </c>
      <c r="B1898" s="616"/>
      <c r="C1898" s="617"/>
      <c r="D1898" s="618"/>
      <c r="E1898" s="367"/>
      <c r="F1898" s="367"/>
      <c r="G1898" s="1"/>
    </row>
    <row r="1899" spans="1:7" ht="14.1" customHeight="1">
      <c r="A1899" s="622"/>
      <c r="B1899" s="616"/>
      <c r="C1899" s="617"/>
      <c r="D1899" s="618"/>
      <c r="E1899" s="367"/>
      <c r="F1899" s="367"/>
      <c r="G1899" s="1"/>
    </row>
    <row r="1900" spans="1:7" ht="14.1" customHeight="1">
      <c r="A1900" s="623"/>
      <c r="B1900" s="619"/>
      <c r="C1900" s="620"/>
      <c r="D1900" s="621"/>
      <c r="E1900" s="367"/>
      <c r="F1900" s="367"/>
      <c r="G1900" s="1"/>
    </row>
    <row r="1901" spans="1:7" ht="14.1" customHeight="1">
      <c r="A1901" s="478"/>
      <c r="B1901" s="29"/>
      <c r="C1901" s="368"/>
      <c r="D1901" s="368"/>
      <c r="E1901" s="365"/>
      <c r="F1901" s="365"/>
      <c r="G1901" s="1"/>
    </row>
    <row r="1902" spans="1:7" ht="14.1" customHeight="1">
      <c r="A1902" s="624" t="s">
        <v>144</v>
      </c>
      <c r="B1902" s="624"/>
      <c r="C1902" s="624"/>
      <c r="D1902" s="624"/>
      <c r="E1902" s="624"/>
      <c r="F1902" s="624"/>
      <c r="G1902" s="1"/>
    </row>
    <row r="1903" spans="1:7" ht="14.1" customHeight="1">
      <c r="A1903" s="479"/>
      <c r="B1903" s="10"/>
      <c r="C1903" s="395"/>
      <c r="D1903" s="395"/>
      <c r="E1903" s="395"/>
      <c r="F1903" s="395"/>
      <c r="G1903" s="1"/>
    </row>
    <row r="1904" spans="1:7" ht="15.95" customHeight="1">
      <c r="A1904" s="480" t="s">
        <v>145</v>
      </c>
      <c r="B1904" s="11" t="s">
        <v>146</v>
      </c>
      <c r="C1904" s="11" t="s">
        <v>147</v>
      </c>
      <c r="D1904" s="11" t="s">
        <v>148</v>
      </c>
      <c r="E1904" s="12" t="s">
        <v>149</v>
      </c>
      <c r="F1904" s="11" t="s">
        <v>150</v>
      </c>
      <c r="G1904" s="1"/>
    </row>
    <row r="1905" spans="1:7" ht="14.1" customHeight="1">
      <c r="A1905" s="480">
        <v>1</v>
      </c>
      <c r="B1905" s="220" t="s">
        <v>1172</v>
      </c>
      <c r="C1905" s="221" t="s">
        <v>12</v>
      </c>
      <c r="D1905" s="221">
        <v>1.05</v>
      </c>
      <c r="E1905" s="18">
        <f>'MAT 31-10-2013'!R204*1.1/6</f>
        <v>73.076532986111133</v>
      </c>
      <c r="F1905" s="375">
        <f>ROUND(D1905*E1905, 2)</f>
        <v>76.73</v>
      </c>
      <c r="G1905" s="1"/>
    </row>
    <row r="1906" spans="1:7" ht="14.1" customHeight="1">
      <c r="A1906" s="480">
        <v>2</v>
      </c>
      <c r="B1906" s="220" t="s">
        <v>1173</v>
      </c>
      <c r="C1906" s="221" t="s">
        <v>11</v>
      </c>
      <c r="D1906" s="221">
        <v>1</v>
      </c>
      <c r="E1906" s="18">
        <f>0.1*F1905</f>
        <v>7.6730000000000009</v>
      </c>
      <c r="F1906" s="375">
        <f t="shared" ref="F1906:F1916" si="95">ROUND(D1906*E1906, 2)</f>
        <v>7.67</v>
      </c>
      <c r="G1906" s="1"/>
    </row>
    <row r="1907" spans="1:7" ht="14.1" customHeight="1">
      <c r="A1907" s="480">
        <v>3</v>
      </c>
      <c r="B1907" s="220" t="s">
        <v>991</v>
      </c>
      <c r="C1907" s="370" t="s">
        <v>11</v>
      </c>
      <c r="D1907" s="221">
        <v>1</v>
      </c>
      <c r="E1907" s="18">
        <v>3</v>
      </c>
      <c r="F1907" s="375">
        <f t="shared" si="95"/>
        <v>3</v>
      </c>
      <c r="G1907" s="1"/>
    </row>
    <row r="1908" spans="1:7" ht="14.1" customHeight="1">
      <c r="A1908" s="480">
        <v>4</v>
      </c>
      <c r="B1908" s="220" t="s">
        <v>1010</v>
      </c>
      <c r="C1908" s="370" t="s">
        <v>325</v>
      </c>
      <c r="D1908" s="221">
        <v>0.03</v>
      </c>
      <c r="E1908" s="18">
        <f>Equipos!S$20</f>
        <v>132.98876033057851</v>
      </c>
      <c r="F1908" s="375">
        <f t="shared" si="95"/>
        <v>3.99</v>
      </c>
      <c r="G1908" s="1"/>
    </row>
    <row r="1909" spans="1:7" ht="14.1" customHeight="1">
      <c r="A1909" s="480">
        <v>5</v>
      </c>
      <c r="B1909" s="301" t="s">
        <v>265</v>
      </c>
      <c r="C1909" s="370" t="s">
        <v>325</v>
      </c>
      <c r="D1909" s="221">
        <v>0.05</v>
      </c>
      <c r="E1909" s="18">
        <f>Equipos!S$36</f>
        <v>3.5183305785123968</v>
      </c>
      <c r="F1909" s="375">
        <f t="shared" si="95"/>
        <v>0.18</v>
      </c>
      <c r="G1909" s="1"/>
    </row>
    <row r="1910" spans="1:7" ht="14.1" customHeight="1">
      <c r="A1910" s="480">
        <v>6</v>
      </c>
      <c r="B1910" s="220"/>
      <c r="C1910" s="394"/>
      <c r="D1910" s="224"/>
      <c r="E1910" s="18"/>
      <c r="F1910" s="375">
        <f t="shared" si="95"/>
        <v>0</v>
      </c>
      <c r="G1910" s="1"/>
    </row>
    <row r="1911" spans="1:7" ht="14.1" customHeight="1">
      <c r="A1911" s="480">
        <v>7</v>
      </c>
      <c r="B1911" s="220"/>
      <c r="C1911" s="394"/>
      <c r="D1911" s="224"/>
      <c r="E1911" s="18"/>
      <c r="F1911" s="375">
        <f t="shared" si="95"/>
        <v>0</v>
      </c>
      <c r="G1911" s="1"/>
    </row>
    <row r="1912" spans="1:7" ht="14.1" customHeight="1">
      <c r="A1912" s="480">
        <v>8</v>
      </c>
      <c r="B1912" s="220"/>
      <c r="C1912" s="394"/>
      <c r="D1912" s="224"/>
      <c r="E1912" s="18"/>
      <c r="F1912" s="375">
        <f t="shared" si="95"/>
        <v>0</v>
      </c>
      <c r="G1912" s="1"/>
    </row>
    <row r="1913" spans="1:7" ht="14.1" customHeight="1">
      <c r="A1913" s="480">
        <v>9</v>
      </c>
      <c r="B1913" s="220"/>
      <c r="C1913" s="394"/>
      <c r="D1913" s="224"/>
      <c r="E1913" s="18"/>
      <c r="F1913" s="375">
        <f t="shared" si="95"/>
        <v>0</v>
      </c>
      <c r="G1913" s="1"/>
    </row>
    <row r="1914" spans="1:7" ht="14.1" customHeight="1">
      <c r="A1914" s="480">
        <v>10</v>
      </c>
      <c r="B1914" s="13"/>
      <c r="C1914" s="11"/>
      <c r="D1914" s="14"/>
      <c r="E1914" s="18"/>
      <c r="F1914" s="375">
        <f t="shared" si="95"/>
        <v>0</v>
      </c>
      <c r="G1914" s="1"/>
    </row>
    <row r="1915" spans="1:7" ht="14.1" customHeight="1">
      <c r="A1915" s="480">
        <v>11</v>
      </c>
      <c r="B1915" s="13"/>
      <c r="C1915" s="11"/>
      <c r="D1915" s="11"/>
      <c r="E1915" s="18"/>
      <c r="F1915" s="375">
        <f t="shared" si="95"/>
        <v>0</v>
      </c>
      <c r="G1915" s="1"/>
    </row>
    <row r="1916" spans="1:7" ht="14.1" customHeight="1" thickBot="1">
      <c r="A1916" s="480">
        <v>12</v>
      </c>
      <c r="B1916" s="13"/>
      <c r="C1916" s="11"/>
      <c r="D1916" s="11"/>
      <c r="E1916" s="18"/>
      <c r="F1916" s="375">
        <f t="shared" si="95"/>
        <v>0</v>
      </c>
      <c r="G1916" s="1"/>
    </row>
    <row r="1917" spans="1:7" ht="14.1" customHeight="1" thickBot="1">
      <c r="A1917" s="481"/>
      <c r="B1917" s="5"/>
      <c r="C1917" s="367"/>
      <c r="D1917" s="367"/>
      <c r="E1917" s="367" t="s">
        <v>151</v>
      </c>
      <c r="F1917" s="376">
        <f>SUM(F1905:F1916)</f>
        <v>91.570000000000007</v>
      </c>
      <c r="G1917" s="1"/>
    </row>
    <row r="1918" spans="1:7" ht="14.1" customHeight="1">
      <c r="A1918" s="482"/>
      <c r="B1918" s="393"/>
      <c r="C1918" s="396"/>
      <c r="D1918" s="396"/>
      <c r="E1918" s="396"/>
      <c r="F1918" s="396"/>
      <c r="G1918" s="1"/>
    </row>
    <row r="1919" spans="1:7" ht="14.1" customHeight="1">
      <c r="A1919" s="625" t="s">
        <v>152</v>
      </c>
      <c r="B1919" s="625"/>
      <c r="C1919" s="625"/>
      <c r="D1919" s="625"/>
      <c r="E1919" s="625"/>
      <c r="F1919" s="625"/>
      <c r="G1919" s="1"/>
    </row>
    <row r="1920" spans="1:7" ht="14.1" customHeight="1">
      <c r="A1920" s="482"/>
      <c r="B1920" s="393"/>
      <c r="C1920" s="396"/>
      <c r="D1920" s="396"/>
      <c r="E1920" s="396"/>
      <c r="F1920" s="367"/>
      <c r="G1920" s="1"/>
    </row>
    <row r="1921" spans="1:7" ht="14.1" customHeight="1">
      <c r="A1921" s="480">
        <v>13</v>
      </c>
      <c r="B1921" s="17" t="s">
        <v>153</v>
      </c>
      <c r="C1921" s="11" t="s">
        <v>154</v>
      </c>
      <c r="D1921" s="14">
        <f>D1908</f>
        <v>0.03</v>
      </c>
      <c r="E1921" s="18">
        <f>'Mano de obra'!$J$20</f>
        <v>82.610000000000014</v>
      </c>
      <c r="F1921" s="375">
        <f>ROUND(D1921*E1921, 2)</f>
        <v>2.48</v>
      </c>
      <c r="G1921" s="1"/>
    </row>
    <row r="1922" spans="1:7" ht="14.1" customHeight="1">
      <c r="A1922" s="480">
        <v>14</v>
      </c>
      <c r="B1922" s="17" t="s">
        <v>155</v>
      </c>
      <c r="C1922" s="11" t="s">
        <v>154</v>
      </c>
      <c r="D1922" s="14">
        <v>0.1</v>
      </c>
      <c r="E1922" s="18">
        <f>'Mano de obra'!$J$21</f>
        <v>70.38</v>
      </c>
      <c r="F1922" s="375">
        <f t="shared" ref="F1922:F1925" si="96">ROUND(D1922*E1922, 2)</f>
        <v>7.04</v>
      </c>
      <c r="G1922" s="1"/>
    </row>
    <row r="1923" spans="1:7" ht="14.1" customHeight="1">
      <c r="A1923" s="480">
        <v>15</v>
      </c>
      <c r="B1923" s="17" t="s">
        <v>156</v>
      </c>
      <c r="C1923" s="11" t="s">
        <v>154</v>
      </c>
      <c r="D1923" s="14">
        <v>0.1</v>
      </c>
      <c r="E1923" s="18">
        <f>'Mano de obra'!$J$22</f>
        <v>64.78</v>
      </c>
      <c r="F1923" s="375">
        <f t="shared" si="96"/>
        <v>6.48</v>
      </c>
      <c r="G1923" s="1"/>
    </row>
    <row r="1924" spans="1:7" ht="14.1" customHeight="1">
      <c r="A1924" s="480">
        <v>16</v>
      </c>
      <c r="B1924" s="17" t="s">
        <v>157</v>
      </c>
      <c r="C1924" s="11" t="s">
        <v>154</v>
      </c>
      <c r="D1924" s="14">
        <v>0.2</v>
      </c>
      <c r="E1924" s="18">
        <f>'Mano de obra'!$J$23</f>
        <v>59.800000000000004</v>
      </c>
      <c r="F1924" s="375">
        <f t="shared" si="96"/>
        <v>11.96</v>
      </c>
      <c r="G1924" s="1"/>
    </row>
    <row r="1925" spans="1:7" ht="14.1" customHeight="1" thickBot="1">
      <c r="A1925" s="480">
        <v>17</v>
      </c>
      <c r="B1925" s="13"/>
      <c r="C1925" s="11"/>
      <c r="D1925" s="11"/>
      <c r="E1925" s="18"/>
      <c r="F1925" s="375">
        <f t="shared" si="96"/>
        <v>0</v>
      </c>
      <c r="G1925" s="1"/>
    </row>
    <row r="1926" spans="1:7" ht="14.1" customHeight="1" thickBot="1">
      <c r="A1926" s="483"/>
      <c r="B1926" s="393"/>
      <c r="C1926" s="396"/>
      <c r="D1926" s="396"/>
      <c r="E1926" s="367" t="s">
        <v>158</v>
      </c>
      <c r="F1926" s="376">
        <f>SUM(F1921:F1925)</f>
        <v>27.96</v>
      </c>
      <c r="G1926" s="1"/>
    </row>
    <row r="1927" spans="1:7" ht="14.1" customHeight="1" thickBot="1">
      <c r="A1927" s="484"/>
      <c r="B1927" s="393"/>
      <c r="C1927" s="396"/>
      <c r="D1927" s="396"/>
      <c r="E1927" s="396"/>
      <c r="F1927" s="367"/>
      <c r="G1927" s="1"/>
    </row>
    <row r="1928" spans="1:7" ht="14.1" customHeight="1" thickBot="1">
      <c r="A1928" s="480"/>
      <c r="B1928" s="142" t="s">
        <v>273</v>
      </c>
      <c r="C1928" s="369"/>
      <c r="D1928" s="369"/>
      <c r="E1928" s="377" t="s">
        <v>159</v>
      </c>
      <c r="F1928" s="376">
        <f>SUM(F1917+F1926)</f>
        <v>119.53</v>
      </c>
      <c r="G1928" s="1"/>
    </row>
    <row r="1929" spans="1:7" ht="15" customHeight="1">
      <c r="A1929" s="626"/>
      <c r="B1929" s="627" t="s">
        <v>274</v>
      </c>
      <c r="C1929" s="628"/>
      <c r="D1929" s="628"/>
      <c r="E1929" s="629" t="s">
        <v>275</v>
      </c>
      <c r="F1929" s="631">
        <f>ROUND(F1928*'Coef. resumen'!$F$23, 2)</f>
        <v>177.14</v>
      </c>
    </row>
    <row r="1930" spans="1:7" ht="15" customHeight="1" thickBot="1">
      <c r="A1930" s="626"/>
      <c r="B1930" s="627"/>
      <c r="C1930" s="628"/>
      <c r="D1930" s="628"/>
      <c r="E1930" s="630"/>
      <c r="F1930" s="632"/>
    </row>
    <row r="1931" spans="1:7" ht="15">
      <c r="A1931" s="471"/>
      <c r="B1931" s="2"/>
      <c r="C1931" s="397"/>
      <c r="D1931" s="397"/>
      <c r="E1931" s="397"/>
      <c r="F1931" s="397"/>
    </row>
    <row r="1932" spans="1:7" ht="15">
      <c r="A1932" s="471"/>
      <c r="B1932" s="2"/>
      <c r="C1932" s="397"/>
      <c r="D1932" s="397"/>
      <c r="E1932" s="397"/>
      <c r="F1932" s="397"/>
    </row>
    <row r="1933" spans="1:7" ht="15">
      <c r="A1933" s="471"/>
      <c r="B1933" s="194" t="str">
        <f>'Coef. resumen'!$B$30</f>
        <v>Julián Antonelli</v>
      </c>
      <c r="C1933" s="524"/>
      <c r="D1933" s="524"/>
      <c r="E1933" s="194" t="str">
        <f>'Coef. resumen'!$E$30</f>
        <v>Marcelo A. Pasquini</v>
      </c>
      <c r="F1933" s="397"/>
    </row>
    <row r="1934" spans="1:7" ht="15">
      <c r="A1934" s="471"/>
      <c r="B1934" s="194" t="str">
        <f>'Coef. resumen'!$B$31</f>
        <v>Ing. Civil M.P. 2161</v>
      </c>
      <c r="C1934" s="524"/>
      <c r="D1934" s="524"/>
      <c r="E1934" s="194" t="str">
        <f>'Coef. resumen'!$E$31</f>
        <v>Socio Gerente</v>
      </c>
      <c r="F1934" s="397"/>
    </row>
    <row r="1935" spans="1:7" ht="15">
      <c r="A1935" s="471"/>
      <c r="B1935" s="194" t="str">
        <f>'Coef. resumen'!$B$32</f>
        <v>Representante Técnico</v>
      </c>
      <c r="C1935" s="524"/>
      <c r="D1935" s="19"/>
      <c r="E1935" s="194" t="str">
        <f>'Coef. resumen'!$E$32</f>
        <v>Pasquini Construcciones SRL</v>
      </c>
      <c r="F1935" s="397"/>
    </row>
    <row r="1936" spans="1:7" ht="15">
      <c r="A1936" s="471"/>
      <c r="B1936" s="194"/>
      <c r="C1936" s="397"/>
      <c r="D1936" s="19"/>
      <c r="E1936" s="194"/>
      <c r="F1936" s="397"/>
    </row>
    <row r="1937" spans="1:7" ht="14.1" customHeight="1">
      <c r="A1937" s="477" t="s">
        <v>142</v>
      </c>
      <c r="B1937" s="613" t="str">
        <f>Presupuesto!B78</f>
        <v>Provisión y colocación de cañería de PVCø 160mm</v>
      </c>
      <c r="C1937" s="614"/>
      <c r="D1937" s="615"/>
      <c r="E1937" s="367" t="s">
        <v>143</v>
      </c>
      <c r="F1937" s="30" t="str">
        <f>Presupuesto!C78</f>
        <v>ml</v>
      </c>
      <c r="G1937" s="1"/>
    </row>
    <row r="1938" spans="1:7" ht="14.1" customHeight="1">
      <c r="A1938" s="622" t="str">
        <f>Presupuesto!A78</f>
        <v>2.1.3</v>
      </c>
      <c r="B1938" s="616"/>
      <c r="C1938" s="617"/>
      <c r="D1938" s="618"/>
      <c r="E1938" s="367"/>
      <c r="F1938" s="367"/>
      <c r="G1938" s="1"/>
    </row>
    <row r="1939" spans="1:7" ht="14.1" customHeight="1">
      <c r="A1939" s="622"/>
      <c r="B1939" s="616"/>
      <c r="C1939" s="617"/>
      <c r="D1939" s="618"/>
      <c r="E1939" s="367"/>
      <c r="F1939" s="367"/>
      <c r="G1939" s="1"/>
    </row>
    <row r="1940" spans="1:7" ht="14.1" customHeight="1">
      <c r="A1940" s="623"/>
      <c r="B1940" s="619"/>
      <c r="C1940" s="620"/>
      <c r="D1940" s="621"/>
      <c r="E1940" s="367"/>
      <c r="F1940" s="367"/>
      <c r="G1940" s="1"/>
    </row>
    <row r="1941" spans="1:7" ht="14.1" customHeight="1">
      <c r="A1941" s="478"/>
      <c r="B1941" s="29"/>
      <c r="C1941" s="368"/>
      <c r="D1941" s="368"/>
      <c r="E1941" s="365"/>
      <c r="F1941" s="365"/>
      <c r="G1941" s="1"/>
    </row>
    <row r="1942" spans="1:7" ht="14.1" customHeight="1">
      <c r="A1942" s="624" t="s">
        <v>144</v>
      </c>
      <c r="B1942" s="624"/>
      <c r="C1942" s="624"/>
      <c r="D1942" s="624"/>
      <c r="E1942" s="624"/>
      <c r="F1942" s="624"/>
      <c r="G1942" s="1"/>
    </row>
    <row r="1943" spans="1:7" ht="14.1" customHeight="1">
      <c r="A1943" s="479"/>
      <c r="B1943" s="10"/>
      <c r="C1943" s="395"/>
      <c r="D1943" s="395"/>
      <c r="E1943" s="395"/>
      <c r="F1943" s="395"/>
      <c r="G1943" s="1"/>
    </row>
    <row r="1944" spans="1:7" ht="15.95" customHeight="1">
      <c r="A1944" s="480" t="s">
        <v>145</v>
      </c>
      <c r="B1944" s="11" t="s">
        <v>146</v>
      </c>
      <c r="C1944" s="11" t="s">
        <v>147</v>
      </c>
      <c r="D1944" s="11" t="s">
        <v>148</v>
      </c>
      <c r="E1944" s="12" t="s">
        <v>149</v>
      </c>
      <c r="F1944" s="11" t="s">
        <v>150</v>
      </c>
      <c r="G1944" s="1"/>
    </row>
    <row r="1945" spans="1:7" ht="14.1" customHeight="1">
      <c r="A1945" s="480">
        <v>1</v>
      </c>
      <c r="B1945" s="220" t="s">
        <v>1172</v>
      </c>
      <c r="C1945" s="221" t="s">
        <v>12</v>
      </c>
      <c r="D1945" s="221">
        <v>1.05</v>
      </c>
      <c r="E1945" s="18">
        <f>'MAT 31-10-2013'!R203*1.1/6</f>
        <v>46.877607638888897</v>
      </c>
      <c r="F1945" s="375">
        <f>ROUND(D1945*E1945, 2)</f>
        <v>49.22</v>
      </c>
      <c r="G1945" s="1"/>
    </row>
    <row r="1946" spans="1:7" ht="14.1" customHeight="1">
      <c r="A1946" s="480">
        <v>2</v>
      </c>
      <c r="B1946" s="220" t="s">
        <v>1173</v>
      </c>
      <c r="C1946" s="221" t="s">
        <v>11</v>
      </c>
      <c r="D1946" s="221">
        <v>1</v>
      </c>
      <c r="E1946" s="18">
        <f>0.1*F1945</f>
        <v>4.9220000000000006</v>
      </c>
      <c r="F1946" s="375">
        <f t="shared" ref="F1946:F1956" si="97">ROUND(D1946*E1946, 2)</f>
        <v>4.92</v>
      </c>
      <c r="G1946" s="1"/>
    </row>
    <row r="1947" spans="1:7" ht="14.1" customHeight="1">
      <c r="A1947" s="480">
        <v>3</v>
      </c>
      <c r="B1947" s="220" t="s">
        <v>991</v>
      </c>
      <c r="C1947" s="370" t="s">
        <v>11</v>
      </c>
      <c r="D1947" s="221">
        <v>1</v>
      </c>
      <c r="E1947" s="18">
        <v>2.5</v>
      </c>
      <c r="F1947" s="375">
        <f t="shared" si="97"/>
        <v>2.5</v>
      </c>
      <c r="G1947" s="1"/>
    </row>
    <row r="1948" spans="1:7" ht="14.1" customHeight="1">
      <c r="A1948" s="480">
        <v>4</v>
      </c>
      <c r="B1948" s="220" t="s">
        <v>1010</v>
      </c>
      <c r="C1948" s="370" t="s">
        <v>325</v>
      </c>
      <c r="D1948" s="221">
        <v>0.03</v>
      </c>
      <c r="E1948" s="18">
        <f>Equipos!S$20</f>
        <v>132.98876033057851</v>
      </c>
      <c r="F1948" s="375">
        <f t="shared" si="97"/>
        <v>3.99</v>
      </c>
      <c r="G1948" s="1"/>
    </row>
    <row r="1949" spans="1:7" ht="14.1" customHeight="1">
      <c r="A1949" s="480">
        <v>5</v>
      </c>
      <c r="B1949" s="301" t="s">
        <v>265</v>
      </c>
      <c r="C1949" s="370" t="s">
        <v>325</v>
      </c>
      <c r="D1949" s="221">
        <v>0.05</v>
      </c>
      <c r="E1949" s="18">
        <f>Equipos!S$36</f>
        <v>3.5183305785123968</v>
      </c>
      <c r="F1949" s="375">
        <f t="shared" si="97"/>
        <v>0.18</v>
      </c>
      <c r="G1949" s="1"/>
    </row>
    <row r="1950" spans="1:7" ht="14.1" customHeight="1">
      <c r="A1950" s="480">
        <v>6</v>
      </c>
      <c r="B1950" s="220"/>
      <c r="C1950" s="394"/>
      <c r="D1950" s="224"/>
      <c r="E1950" s="18"/>
      <c r="F1950" s="375">
        <f t="shared" si="97"/>
        <v>0</v>
      </c>
      <c r="G1950" s="1"/>
    </row>
    <row r="1951" spans="1:7" ht="14.1" customHeight="1">
      <c r="A1951" s="480">
        <v>7</v>
      </c>
      <c r="B1951" s="220"/>
      <c r="C1951" s="394"/>
      <c r="D1951" s="224"/>
      <c r="E1951" s="18"/>
      <c r="F1951" s="375">
        <f t="shared" si="97"/>
        <v>0</v>
      </c>
      <c r="G1951" s="1"/>
    </row>
    <row r="1952" spans="1:7" ht="14.1" customHeight="1">
      <c r="A1952" s="480">
        <v>8</v>
      </c>
      <c r="B1952" s="220"/>
      <c r="C1952" s="394"/>
      <c r="D1952" s="224"/>
      <c r="E1952" s="18"/>
      <c r="F1952" s="375">
        <f t="shared" si="97"/>
        <v>0</v>
      </c>
      <c r="G1952" s="1"/>
    </row>
    <row r="1953" spans="1:7" ht="14.1" customHeight="1">
      <c r="A1953" s="480">
        <v>9</v>
      </c>
      <c r="B1953" s="220"/>
      <c r="C1953" s="394"/>
      <c r="D1953" s="224"/>
      <c r="E1953" s="18"/>
      <c r="F1953" s="375">
        <f t="shared" si="97"/>
        <v>0</v>
      </c>
      <c r="G1953" s="1"/>
    </row>
    <row r="1954" spans="1:7" ht="14.1" customHeight="1">
      <c r="A1954" s="480">
        <v>10</v>
      </c>
      <c r="B1954" s="13"/>
      <c r="C1954" s="11"/>
      <c r="D1954" s="14"/>
      <c r="E1954" s="18"/>
      <c r="F1954" s="375">
        <f t="shared" si="97"/>
        <v>0</v>
      </c>
      <c r="G1954" s="1"/>
    </row>
    <row r="1955" spans="1:7" ht="14.1" customHeight="1">
      <c r="A1955" s="480">
        <v>11</v>
      </c>
      <c r="B1955" s="13"/>
      <c r="C1955" s="11"/>
      <c r="D1955" s="11"/>
      <c r="E1955" s="18"/>
      <c r="F1955" s="375">
        <f t="shared" si="97"/>
        <v>0</v>
      </c>
      <c r="G1955" s="1"/>
    </row>
    <row r="1956" spans="1:7" ht="14.1" customHeight="1" thickBot="1">
      <c r="A1956" s="480">
        <v>12</v>
      </c>
      <c r="B1956" s="13"/>
      <c r="C1956" s="11"/>
      <c r="D1956" s="11"/>
      <c r="E1956" s="18"/>
      <c r="F1956" s="375">
        <f t="shared" si="97"/>
        <v>0</v>
      </c>
      <c r="G1956" s="1"/>
    </row>
    <row r="1957" spans="1:7" ht="14.1" customHeight="1" thickBot="1">
      <c r="A1957" s="481"/>
      <c r="B1957" s="5"/>
      <c r="C1957" s="367"/>
      <c r="D1957" s="367"/>
      <c r="E1957" s="367" t="s">
        <v>151</v>
      </c>
      <c r="F1957" s="376">
        <f>SUM(F1945:F1956)</f>
        <v>60.81</v>
      </c>
      <c r="G1957" s="1"/>
    </row>
    <row r="1958" spans="1:7" ht="14.1" customHeight="1">
      <c r="A1958" s="482"/>
      <c r="B1958" s="393"/>
      <c r="C1958" s="396"/>
      <c r="D1958" s="396"/>
      <c r="E1958" s="396"/>
      <c r="F1958" s="396"/>
      <c r="G1958" s="1"/>
    </row>
    <row r="1959" spans="1:7" ht="14.1" customHeight="1">
      <c r="A1959" s="625" t="s">
        <v>152</v>
      </c>
      <c r="B1959" s="625"/>
      <c r="C1959" s="625"/>
      <c r="D1959" s="625"/>
      <c r="E1959" s="625"/>
      <c r="F1959" s="625"/>
      <c r="G1959" s="1"/>
    </row>
    <row r="1960" spans="1:7" ht="14.1" customHeight="1">
      <c r="A1960" s="482"/>
      <c r="B1960" s="393"/>
      <c r="C1960" s="396"/>
      <c r="D1960" s="396"/>
      <c r="E1960" s="396"/>
      <c r="F1960" s="367"/>
      <c r="G1960" s="1"/>
    </row>
    <row r="1961" spans="1:7" ht="14.1" customHeight="1">
      <c r="A1961" s="480">
        <v>13</v>
      </c>
      <c r="B1961" s="17" t="s">
        <v>153</v>
      </c>
      <c r="C1961" s="11" t="s">
        <v>154</v>
      </c>
      <c r="D1961" s="14">
        <f>D1948</f>
        <v>0.03</v>
      </c>
      <c r="E1961" s="18">
        <f>'Mano de obra'!$J$20</f>
        <v>82.610000000000014</v>
      </c>
      <c r="F1961" s="375">
        <f>ROUND(D1961*E1961, 2)</f>
        <v>2.48</v>
      </c>
      <c r="G1961" s="1"/>
    </row>
    <row r="1962" spans="1:7" ht="14.1" customHeight="1">
      <c r="A1962" s="480">
        <v>14</v>
      </c>
      <c r="B1962" s="17" t="s">
        <v>155</v>
      </c>
      <c r="C1962" s="11" t="s">
        <v>154</v>
      </c>
      <c r="D1962" s="14">
        <v>0.1</v>
      </c>
      <c r="E1962" s="18">
        <f>'Mano de obra'!$J$21</f>
        <v>70.38</v>
      </c>
      <c r="F1962" s="375">
        <f t="shared" ref="F1962:F1965" si="98">ROUND(D1962*E1962, 2)</f>
        <v>7.04</v>
      </c>
      <c r="G1962" s="1"/>
    </row>
    <row r="1963" spans="1:7" ht="14.1" customHeight="1">
      <c r="A1963" s="480">
        <v>15</v>
      </c>
      <c r="B1963" s="17" t="s">
        <v>156</v>
      </c>
      <c r="C1963" s="11" t="s">
        <v>154</v>
      </c>
      <c r="D1963" s="14">
        <v>0.1</v>
      </c>
      <c r="E1963" s="18">
        <f>'Mano de obra'!$J$22</f>
        <v>64.78</v>
      </c>
      <c r="F1963" s="375">
        <f t="shared" si="98"/>
        <v>6.48</v>
      </c>
      <c r="G1963" s="1"/>
    </row>
    <row r="1964" spans="1:7" ht="14.1" customHeight="1">
      <c r="A1964" s="480">
        <v>16</v>
      </c>
      <c r="B1964" s="17" t="s">
        <v>157</v>
      </c>
      <c r="C1964" s="11" t="s">
        <v>154</v>
      </c>
      <c r="D1964" s="14">
        <v>0.2</v>
      </c>
      <c r="E1964" s="18">
        <f>'Mano de obra'!$J$23</f>
        <v>59.800000000000004</v>
      </c>
      <c r="F1964" s="375">
        <f t="shared" si="98"/>
        <v>11.96</v>
      </c>
      <c r="G1964" s="1"/>
    </row>
    <row r="1965" spans="1:7" ht="14.1" customHeight="1" thickBot="1">
      <c r="A1965" s="480">
        <v>17</v>
      </c>
      <c r="B1965" s="13"/>
      <c r="C1965" s="11"/>
      <c r="D1965" s="11"/>
      <c r="E1965" s="18"/>
      <c r="F1965" s="375">
        <f t="shared" si="98"/>
        <v>0</v>
      </c>
      <c r="G1965" s="1"/>
    </row>
    <row r="1966" spans="1:7" ht="14.1" customHeight="1" thickBot="1">
      <c r="A1966" s="483"/>
      <c r="B1966" s="393"/>
      <c r="C1966" s="396"/>
      <c r="D1966" s="396"/>
      <c r="E1966" s="367" t="s">
        <v>158</v>
      </c>
      <c r="F1966" s="376">
        <f>SUM(F1961:F1965)</f>
        <v>27.96</v>
      </c>
      <c r="G1966" s="1"/>
    </row>
    <row r="1967" spans="1:7" ht="14.1" customHeight="1" thickBot="1">
      <c r="A1967" s="484"/>
      <c r="B1967" s="393"/>
      <c r="C1967" s="396"/>
      <c r="D1967" s="396"/>
      <c r="E1967" s="396"/>
      <c r="F1967" s="367"/>
      <c r="G1967" s="1"/>
    </row>
    <row r="1968" spans="1:7" ht="14.1" customHeight="1" thickBot="1">
      <c r="A1968" s="480"/>
      <c r="B1968" s="142" t="s">
        <v>273</v>
      </c>
      <c r="C1968" s="369"/>
      <c r="D1968" s="369"/>
      <c r="E1968" s="377" t="s">
        <v>159</v>
      </c>
      <c r="F1968" s="376">
        <f>SUM(F1957+F1966)</f>
        <v>88.77000000000001</v>
      </c>
      <c r="G1968" s="1"/>
    </row>
    <row r="1969" spans="1:7" ht="15" customHeight="1">
      <c r="A1969" s="626"/>
      <c r="B1969" s="627" t="s">
        <v>274</v>
      </c>
      <c r="C1969" s="628"/>
      <c r="D1969" s="628"/>
      <c r="E1969" s="629" t="s">
        <v>275</v>
      </c>
      <c r="F1969" s="631">
        <f>ROUND(F1968*'Coef. resumen'!$F$23, 2)</f>
        <v>131.56</v>
      </c>
    </row>
    <row r="1970" spans="1:7" ht="15" customHeight="1" thickBot="1">
      <c r="A1970" s="626"/>
      <c r="B1970" s="627"/>
      <c r="C1970" s="628"/>
      <c r="D1970" s="628"/>
      <c r="E1970" s="630"/>
      <c r="F1970" s="632"/>
    </row>
    <row r="1971" spans="1:7" ht="15">
      <c r="A1971" s="471"/>
      <c r="B1971" s="2"/>
      <c r="C1971" s="397"/>
      <c r="D1971" s="397"/>
      <c r="E1971" s="397"/>
      <c r="F1971" s="397"/>
    </row>
    <row r="1972" spans="1:7" ht="15">
      <c r="A1972" s="471"/>
      <c r="B1972" s="2"/>
      <c r="C1972" s="397"/>
      <c r="D1972" s="397"/>
      <c r="E1972" s="397"/>
      <c r="F1972" s="397"/>
    </row>
    <row r="1973" spans="1:7" ht="15">
      <c r="A1973" s="471"/>
      <c r="B1973" s="194" t="str">
        <f>'Coef. resumen'!$B$30</f>
        <v>Julián Antonelli</v>
      </c>
      <c r="C1973" s="524"/>
      <c r="D1973" s="524"/>
      <c r="E1973" s="194" t="str">
        <f>'Coef. resumen'!$E$30</f>
        <v>Marcelo A. Pasquini</v>
      </c>
      <c r="F1973" s="397"/>
    </row>
    <row r="1974" spans="1:7" ht="15">
      <c r="A1974" s="471"/>
      <c r="B1974" s="194" t="str">
        <f>'Coef. resumen'!$B$31</f>
        <v>Ing. Civil M.P. 2161</v>
      </c>
      <c r="C1974" s="524"/>
      <c r="D1974" s="524"/>
      <c r="E1974" s="194" t="str">
        <f>'Coef. resumen'!$E$31</f>
        <v>Socio Gerente</v>
      </c>
      <c r="F1974" s="397"/>
    </row>
    <row r="1975" spans="1:7" ht="15">
      <c r="A1975" s="471"/>
      <c r="B1975" s="194" t="str">
        <f>'Coef. resumen'!$B$32</f>
        <v>Representante Técnico</v>
      </c>
      <c r="C1975" s="524"/>
      <c r="D1975" s="19"/>
      <c r="E1975" s="194" t="str">
        <f>'Coef. resumen'!$E$32</f>
        <v>Pasquini Construcciones SRL</v>
      </c>
      <c r="F1975" s="397"/>
    </row>
    <row r="1976" spans="1:7" ht="15">
      <c r="A1976" s="471"/>
      <c r="B1976" s="194"/>
      <c r="C1976" s="397"/>
      <c r="D1976" s="19"/>
      <c r="E1976" s="194"/>
      <c r="F1976" s="397"/>
    </row>
    <row r="1977" spans="1:7" ht="14.1" customHeight="1">
      <c r="A1977" s="477" t="s">
        <v>142</v>
      </c>
      <c r="B1977" s="613" t="str">
        <f>Presupuesto!B80</f>
        <v>Provisión y colocación de Bocas de registro de Polietileno</v>
      </c>
      <c r="C1977" s="614"/>
      <c r="D1977" s="615"/>
      <c r="E1977" s="367" t="s">
        <v>143</v>
      </c>
      <c r="F1977" s="30" t="str">
        <f>Presupuesto!C80</f>
        <v>un</v>
      </c>
      <c r="G1977" s="1"/>
    </row>
    <row r="1978" spans="1:7" ht="14.1" customHeight="1">
      <c r="A1978" s="622" t="str">
        <f>Presupuesto!A80</f>
        <v>2.2.1</v>
      </c>
      <c r="B1978" s="616"/>
      <c r="C1978" s="617"/>
      <c r="D1978" s="618"/>
      <c r="E1978" s="367"/>
      <c r="F1978" s="367"/>
      <c r="G1978" s="1"/>
    </row>
    <row r="1979" spans="1:7" ht="14.1" customHeight="1">
      <c r="A1979" s="622"/>
      <c r="B1979" s="616"/>
      <c r="C1979" s="617"/>
      <c r="D1979" s="618"/>
      <c r="E1979" s="367"/>
      <c r="F1979" s="367"/>
      <c r="G1979" s="1"/>
    </row>
    <row r="1980" spans="1:7" ht="14.1" customHeight="1">
      <c r="A1980" s="623"/>
      <c r="B1980" s="619"/>
      <c r="C1980" s="620"/>
      <c r="D1980" s="621"/>
      <c r="E1980" s="367"/>
      <c r="F1980" s="367"/>
      <c r="G1980" s="1"/>
    </row>
    <row r="1981" spans="1:7" ht="14.1" customHeight="1">
      <c r="A1981" s="478"/>
      <c r="B1981" s="29"/>
      <c r="C1981" s="368"/>
      <c r="D1981" s="368"/>
      <c r="E1981" s="365"/>
      <c r="F1981" s="365"/>
      <c r="G1981" s="1"/>
    </row>
    <row r="1982" spans="1:7" ht="14.1" customHeight="1">
      <c r="A1982" s="624" t="s">
        <v>144</v>
      </c>
      <c r="B1982" s="624"/>
      <c r="C1982" s="624"/>
      <c r="D1982" s="624"/>
      <c r="E1982" s="624"/>
      <c r="F1982" s="624"/>
      <c r="G1982" s="1"/>
    </row>
    <row r="1983" spans="1:7" ht="14.1" customHeight="1">
      <c r="A1983" s="479"/>
      <c r="B1983" s="10"/>
      <c r="C1983" s="395"/>
      <c r="D1983" s="395"/>
      <c r="E1983" s="395"/>
      <c r="F1983" s="395"/>
      <c r="G1983" s="1"/>
    </row>
    <row r="1984" spans="1:7" ht="15.95" customHeight="1">
      <c r="A1984" s="480" t="s">
        <v>145</v>
      </c>
      <c r="B1984" s="11" t="s">
        <v>146</v>
      </c>
      <c r="C1984" s="11" t="s">
        <v>147</v>
      </c>
      <c r="D1984" s="11" t="s">
        <v>148</v>
      </c>
      <c r="E1984" s="12" t="s">
        <v>149</v>
      </c>
      <c r="F1984" s="11" t="s">
        <v>150</v>
      </c>
      <c r="G1984" s="1"/>
    </row>
    <row r="1985" spans="1:7" ht="14.1" customHeight="1">
      <c r="A1985" s="480">
        <v>1</v>
      </c>
      <c r="B1985" s="220" t="s">
        <v>1174</v>
      </c>
      <c r="C1985" s="221" t="s">
        <v>433</v>
      </c>
      <c r="D1985" s="221">
        <v>1</v>
      </c>
      <c r="E1985" s="18">
        <f>4538</f>
        <v>4538</v>
      </c>
      <c r="F1985" s="375">
        <f>ROUND(D1985*E1985, 2)</f>
        <v>4538</v>
      </c>
      <c r="G1985" s="1"/>
    </row>
    <row r="1986" spans="1:7" ht="14.1" customHeight="1">
      <c r="A1986" s="480">
        <v>2</v>
      </c>
      <c r="B1986" s="220" t="s">
        <v>1175</v>
      </c>
      <c r="C1986" s="221" t="s">
        <v>1026</v>
      </c>
      <c r="D1986" s="221">
        <v>1</v>
      </c>
      <c r="E1986" s="18">
        <f>0.1*F1985</f>
        <v>453.8</v>
      </c>
      <c r="F1986" s="375">
        <f t="shared" ref="F1986:F1996" si="99">ROUND(D1986*E1986, 2)</f>
        <v>453.8</v>
      </c>
      <c r="G1986" s="1"/>
    </row>
    <row r="1987" spans="1:7" ht="14.1" customHeight="1">
      <c r="A1987" s="480">
        <v>3</v>
      </c>
      <c r="B1987" s="220" t="s">
        <v>1010</v>
      </c>
      <c r="C1987" s="370" t="s">
        <v>325</v>
      </c>
      <c r="D1987" s="221">
        <v>1</v>
      </c>
      <c r="E1987" s="18">
        <f>Equipos!S$20</f>
        <v>132.98876033057851</v>
      </c>
      <c r="F1987" s="375">
        <f t="shared" si="99"/>
        <v>132.99</v>
      </c>
      <c r="G1987" s="1"/>
    </row>
    <row r="1988" spans="1:7" ht="14.1" customHeight="1">
      <c r="A1988" s="480">
        <v>4</v>
      </c>
      <c r="B1988" s="220" t="s">
        <v>1176</v>
      </c>
      <c r="C1988" s="370" t="s">
        <v>325</v>
      </c>
      <c r="D1988" s="221">
        <v>1</v>
      </c>
      <c r="E1988" s="18">
        <f>Equipos!S$32</f>
        <v>8.1039256198347118</v>
      </c>
      <c r="F1988" s="375">
        <f t="shared" si="99"/>
        <v>8.1</v>
      </c>
      <c r="G1988" s="1"/>
    </row>
    <row r="1989" spans="1:7" ht="14.1" customHeight="1">
      <c r="A1989" s="480">
        <v>5</v>
      </c>
      <c r="B1989" s="301" t="s">
        <v>1177</v>
      </c>
      <c r="C1989" s="370" t="s">
        <v>325</v>
      </c>
      <c r="D1989" s="221">
        <v>2</v>
      </c>
      <c r="E1989" s="18">
        <f>Equipos!S$36</f>
        <v>3.5183305785123968</v>
      </c>
      <c r="F1989" s="375">
        <f t="shared" si="99"/>
        <v>7.04</v>
      </c>
      <c r="G1989" s="1"/>
    </row>
    <row r="1990" spans="1:7" ht="14.1" customHeight="1">
      <c r="A1990" s="480">
        <v>6</v>
      </c>
      <c r="B1990" s="220"/>
      <c r="C1990" s="394"/>
      <c r="D1990" s="224"/>
      <c r="E1990" s="18"/>
      <c r="F1990" s="375">
        <f t="shared" si="99"/>
        <v>0</v>
      </c>
      <c r="G1990" s="1"/>
    </row>
    <row r="1991" spans="1:7" ht="14.1" customHeight="1">
      <c r="A1991" s="480">
        <v>7</v>
      </c>
      <c r="B1991" s="220"/>
      <c r="C1991" s="394"/>
      <c r="D1991" s="224"/>
      <c r="E1991" s="18"/>
      <c r="F1991" s="375">
        <f t="shared" si="99"/>
        <v>0</v>
      </c>
      <c r="G1991" s="1"/>
    </row>
    <row r="1992" spans="1:7" ht="14.1" customHeight="1">
      <c r="A1992" s="480">
        <v>8</v>
      </c>
      <c r="B1992" s="220"/>
      <c r="C1992" s="394"/>
      <c r="D1992" s="224"/>
      <c r="E1992" s="18"/>
      <c r="F1992" s="375">
        <f t="shared" si="99"/>
        <v>0</v>
      </c>
      <c r="G1992" s="1"/>
    </row>
    <row r="1993" spans="1:7" ht="14.1" customHeight="1">
      <c r="A1993" s="480">
        <v>9</v>
      </c>
      <c r="B1993" s="220"/>
      <c r="C1993" s="394"/>
      <c r="D1993" s="224"/>
      <c r="E1993" s="18"/>
      <c r="F1993" s="375">
        <f t="shared" si="99"/>
        <v>0</v>
      </c>
      <c r="G1993" s="1"/>
    </row>
    <row r="1994" spans="1:7" ht="14.1" customHeight="1">
      <c r="A1994" s="480">
        <v>10</v>
      </c>
      <c r="B1994" s="13"/>
      <c r="C1994" s="11"/>
      <c r="D1994" s="14"/>
      <c r="E1994" s="18"/>
      <c r="F1994" s="375">
        <f t="shared" si="99"/>
        <v>0</v>
      </c>
      <c r="G1994" s="1"/>
    </row>
    <row r="1995" spans="1:7" ht="14.1" customHeight="1">
      <c r="A1995" s="480">
        <v>11</v>
      </c>
      <c r="B1995" s="13"/>
      <c r="C1995" s="11"/>
      <c r="D1995" s="11"/>
      <c r="E1995" s="18"/>
      <c r="F1995" s="375">
        <f t="shared" si="99"/>
        <v>0</v>
      </c>
      <c r="G1995" s="1"/>
    </row>
    <row r="1996" spans="1:7" ht="14.1" customHeight="1" thickBot="1">
      <c r="A1996" s="480">
        <v>12</v>
      </c>
      <c r="B1996" s="13"/>
      <c r="C1996" s="11"/>
      <c r="D1996" s="11"/>
      <c r="E1996" s="18"/>
      <c r="F1996" s="375">
        <f t="shared" si="99"/>
        <v>0</v>
      </c>
      <c r="G1996" s="1"/>
    </row>
    <row r="1997" spans="1:7" ht="14.1" customHeight="1" thickBot="1">
      <c r="A1997" s="481"/>
      <c r="B1997" s="5"/>
      <c r="C1997" s="367"/>
      <c r="D1997" s="367"/>
      <c r="E1997" s="367" t="s">
        <v>151</v>
      </c>
      <c r="F1997" s="376">
        <f>SUM(F1985:F1996)</f>
        <v>5139.93</v>
      </c>
      <c r="G1997" s="1"/>
    </row>
    <row r="1998" spans="1:7" ht="14.1" customHeight="1">
      <c r="A1998" s="482"/>
      <c r="B1998" s="393"/>
      <c r="C1998" s="396"/>
      <c r="D1998" s="396"/>
      <c r="E1998" s="396"/>
      <c r="F1998" s="396"/>
      <c r="G1998" s="1"/>
    </row>
    <row r="1999" spans="1:7" ht="14.1" customHeight="1">
      <c r="A1999" s="625" t="s">
        <v>152</v>
      </c>
      <c r="B1999" s="625"/>
      <c r="C1999" s="625"/>
      <c r="D1999" s="625"/>
      <c r="E1999" s="625"/>
      <c r="F1999" s="625"/>
      <c r="G1999" s="1"/>
    </row>
    <row r="2000" spans="1:7" ht="14.1" customHeight="1">
      <c r="A2000" s="482"/>
      <c r="B2000" s="393"/>
      <c r="C2000" s="396"/>
      <c r="D2000" s="396"/>
      <c r="E2000" s="396"/>
      <c r="F2000" s="367"/>
      <c r="G2000" s="1"/>
    </row>
    <row r="2001" spans="1:7" ht="14.1" customHeight="1">
      <c r="A2001" s="480">
        <v>13</v>
      </c>
      <c r="B2001" s="17" t="s">
        <v>153</v>
      </c>
      <c r="C2001" s="11" t="s">
        <v>154</v>
      </c>
      <c r="D2001" s="14">
        <f>D1987</f>
        <v>1</v>
      </c>
      <c r="E2001" s="18">
        <f>'Mano de obra'!$J$20</f>
        <v>82.610000000000014</v>
      </c>
      <c r="F2001" s="375">
        <f>ROUND(D2001*E2001, 2)</f>
        <v>82.61</v>
      </c>
      <c r="G2001" s="1"/>
    </row>
    <row r="2002" spans="1:7" ht="14.1" customHeight="1">
      <c r="A2002" s="480">
        <v>14</v>
      </c>
      <c r="B2002" s="17" t="s">
        <v>155</v>
      </c>
      <c r="C2002" s="11" t="s">
        <v>154</v>
      </c>
      <c r="D2002" s="14">
        <v>8</v>
      </c>
      <c r="E2002" s="18">
        <f>'Mano de obra'!$J$21</f>
        <v>70.38</v>
      </c>
      <c r="F2002" s="375">
        <f t="shared" ref="F2002:F2005" si="100">ROUND(D2002*E2002, 2)</f>
        <v>563.04</v>
      </c>
      <c r="G2002" s="1"/>
    </row>
    <row r="2003" spans="1:7" ht="14.1" customHeight="1">
      <c r="A2003" s="480">
        <v>15</v>
      </c>
      <c r="B2003" s="17" t="s">
        <v>156</v>
      </c>
      <c r="C2003" s="11" t="s">
        <v>154</v>
      </c>
      <c r="D2003" s="14">
        <f>8/60</f>
        <v>0.13333333333333333</v>
      </c>
      <c r="E2003" s="18">
        <f>'Mano de obra'!$J$22</f>
        <v>64.78</v>
      </c>
      <c r="F2003" s="375">
        <f t="shared" si="100"/>
        <v>8.64</v>
      </c>
      <c r="G2003" s="1"/>
    </row>
    <row r="2004" spans="1:7" ht="14.1" customHeight="1">
      <c r="A2004" s="480">
        <v>16</v>
      </c>
      <c r="B2004" s="17" t="s">
        <v>157</v>
      </c>
      <c r="C2004" s="11" t="s">
        <v>154</v>
      </c>
      <c r="D2004" s="14">
        <v>8</v>
      </c>
      <c r="E2004" s="18">
        <f>'Mano de obra'!$J$23</f>
        <v>59.800000000000004</v>
      </c>
      <c r="F2004" s="375">
        <f t="shared" si="100"/>
        <v>478.4</v>
      </c>
      <c r="G2004" s="1"/>
    </row>
    <row r="2005" spans="1:7" ht="14.1" customHeight="1" thickBot="1">
      <c r="A2005" s="480">
        <v>17</v>
      </c>
      <c r="B2005" s="13"/>
      <c r="C2005" s="11"/>
      <c r="D2005" s="11"/>
      <c r="E2005" s="18"/>
      <c r="F2005" s="375">
        <f t="shared" si="100"/>
        <v>0</v>
      </c>
      <c r="G2005" s="1"/>
    </row>
    <row r="2006" spans="1:7" ht="14.1" customHeight="1" thickBot="1">
      <c r="A2006" s="483"/>
      <c r="B2006" s="393"/>
      <c r="C2006" s="396"/>
      <c r="D2006" s="396"/>
      <c r="E2006" s="367" t="s">
        <v>158</v>
      </c>
      <c r="F2006" s="376">
        <f>SUM(F2001:F2005)</f>
        <v>1132.69</v>
      </c>
      <c r="G2006" s="1"/>
    </row>
    <row r="2007" spans="1:7" ht="14.1" customHeight="1" thickBot="1">
      <c r="A2007" s="484"/>
      <c r="B2007" s="393"/>
      <c r="C2007" s="396"/>
      <c r="D2007" s="396"/>
      <c r="E2007" s="396"/>
      <c r="F2007" s="367"/>
      <c r="G2007" s="1"/>
    </row>
    <row r="2008" spans="1:7" ht="14.1" customHeight="1" thickBot="1">
      <c r="A2008" s="480"/>
      <c r="B2008" s="142" t="s">
        <v>273</v>
      </c>
      <c r="C2008" s="369"/>
      <c r="D2008" s="369"/>
      <c r="E2008" s="377" t="s">
        <v>159</v>
      </c>
      <c r="F2008" s="376">
        <f>SUM(F1997+F2006)</f>
        <v>6272.6200000000008</v>
      </c>
      <c r="G2008" s="1"/>
    </row>
    <row r="2009" spans="1:7" ht="15" customHeight="1">
      <c r="A2009" s="626"/>
      <c r="B2009" s="627" t="s">
        <v>274</v>
      </c>
      <c r="C2009" s="628"/>
      <c r="D2009" s="628"/>
      <c r="E2009" s="629" t="s">
        <v>275</v>
      </c>
      <c r="F2009" s="631">
        <f>ROUND(F2008*'Coef. resumen'!$F$23, 2)</f>
        <v>9296.02</v>
      </c>
    </row>
    <row r="2010" spans="1:7" ht="15" customHeight="1" thickBot="1">
      <c r="A2010" s="626"/>
      <c r="B2010" s="627"/>
      <c r="C2010" s="628"/>
      <c r="D2010" s="628"/>
      <c r="E2010" s="630"/>
      <c r="F2010" s="632"/>
    </row>
    <row r="2011" spans="1:7" ht="15">
      <c r="A2011" s="471"/>
      <c r="B2011" s="2"/>
      <c r="C2011" s="397"/>
      <c r="D2011" s="397"/>
      <c r="E2011" s="397"/>
      <c r="F2011" s="397"/>
    </row>
    <row r="2012" spans="1:7" ht="15">
      <c r="A2012" s="471"/>
      <c r="B2012" s="2"/>
      <c r="C2012" s="397"/>
      <c r="D2012" s="397"/>
      <c r="E2012" s="397"/>
      <c r="F2012" s="397"/>
    </row>
    <row r="2013" spans="1:7" ht="15">
      <c r="A2013" s="471"/>
      <c r="B2013" s="194" t="str">
        <f>'Coef. resumen'!$B$30</f>
        <v>Julián Antonelli</v>
      </c>
      <c r="C2013" s="524"/>
      <c r="D2013" s="524"/>
      <c r="E2013" s="194" t="str">
        <f>'Coef. resumen'!$E$30</f>
        <v>Marcelo A. Pasquini</v>
      </c>
      <c r="F2013" s="397"/>
    </row>
    <row r="2014" spans="1:7" ht="15">
      <c r="A2014" s="471"/>
      <c r="B2014" s="194" t="str">
        <f>'Coef. resumen'!$B$31</f>
        <v>Ing. Civil M.P. 2161</v>
      </c>
      <c r="C2014" s="524"/>
      <c r="D2014" s="524"/>
      <c r="E2014" s="194" t="str">
        <f>'Coef. resumen'!$E$31</f>
        <v>Socio Gerente</v>
      </c>
      <c r="F2014" s="397"/>
    </row>
    <row r="2015" spans="1:7" ht="15">
      <c r="A2015" s="471"/>
      <c r="B2015" s="194" t="str">
        <f>'Coef. resumen'!$B$32</f>
        <v>Representante Técnico</v>
      </c>
      <c r="C2015" s="524"/>
      <c r="D2015" s="19"/>
      <c r="E2015" s="194" t="str">
        <f>'Coef. resumen'!$E$32</f>
        <v>Pasquini Construcciones SRL</v>
      </c>
      <c r="F2015" s="397"/>
    </row>
    <row r="2016" spans="1:7" ht="15">
      <c r="A2016" s="471"/>
      <c r="B2016" s="194"/>
      <c r="C2016" s="397"/>
      <c r="D2016" s="19"/>
      <c r="E2016" s="194"/>
      <c r="F2016" s="397"/>
    </row>
    <row r="2017" spans="1:7" ht="14.1" customHeight="1">
      <c r="A2017" s="477" t="s">
        <v>142</v>
      </c>
      <c r="B2017" s="613" t="str">
        <f>Presupuesto!B81</f>
        <v>Provisión y colocación de Bocas de registro de HºAº</v>
      </c>
      <c r="C2017" s="614"/>
      <c r="D2017" s="615"/>
      <c r="E2017" s="367" t="s">
        <v>143</v>
      </c>
      <c r="F2017" s="30" t="str">
        <f>Presupuesto!C81</f>
        <v>un</v>
      </c>
      <c r="G2017" s="1"/>
    </row>
    <row r="2018" spans="1:7" ht="14.1" customHeight="1">
      <c r="A2018" s="622" t="str">
        <f>Presupuesto!A81</f>
        <v>2.2.2</v>
      </c>
      <c r="B2018" s="616"/>
      <c r="C2018" s="617"/>
      <c r="D2018" s="618"/>
      <c r="E2018" s="367"/>
      <c r="F2018" s="367"/>
      <c r="G2018" s="1"/>
    </row>
    <row r="2019" spans="1:7" ht="14.1" customHeight="1">
      <c r="A2019" s="622"/>
      <c r="B2019" s="616"/>
      <c r="C2019" s="617"/>
      <c r="D2019" s="618"/>
      <c r="E2019" s="367"/>
      <c r="F2019" s="367"/>
      <c r="G2019" s="1"/>
    </row>
    <row r="2020" spans="1:7" ht="14.1" customHeight="1">
      <c r="A2020" s="623"/>
      <c r="B2020" s="619"/>
      <c r="C2020" s="620"/>
      <c r="D2020" s="621"/>
      <c r="E2020" s="367"/>
      <c r="F2020" s="367"/>
      <c r="G2020" s="1"/>
    </row>
    <row r="2021" spans="1:7" ht="14.1" customHeight="1">
      <c r="A2021" s="478"/>
      <c r="B2021" s="29"/>
      <c r="C2021" s="368"/>
      <c r="D2021" s="368"/>
      <c r="E2021" s="365"/>
      <c r="F2021" s="365"/>
      <c r="G2021" s="1"/>
    </row>
    <row r="2022" spans="1:7" ht="14.1" customHeight="1">
      <c r="A2022" s="624" t="s">
        <v>144</v>
      </c>
      <c r="B2022" s="624"/>
      <c r="C2022" s="624"/>
      <c r="D2022" s="624"/>
      <c r="E2022" s="624"/>
      <c r="F2022" s="624"/>
      <c r="G2022" s="1"/>
    </row>
    <row r="2023" spans="1:7" ht="14.1" customHeight="1">
      <c r="A2023" s="479"/>
      <c r="B2023" s="10"/>
      <c r="C2023" s="395"/>
      <c r="D2023" s="395"/>
      <c r="E2023" s="395"/>
      <c r="F2023" s="395"/>
      <c r="G2023" s="1"/>
    </row>
    <row r="2024" spans="1:7" ht="15.95" customHeight="1">
      <c r="A2024" s="480" t="s">
        <v>145</v>
      </c>
      <c r="B2024" s="11" t="s">
        <v>146</v>
      </c>
      <c r="C2024" s="11" t="s">
        <v>147</v>
      </c>
      <c r="D2024" s="11" t="s">
        <v>148</v>
      </c>
      <c r="E2024" s="12" t="s">
        <v>149</v>
      </c>
      <c r="F2024" s="11" t="s">
        <v>150</v>
      </c>
      <c r="G2024" s="1"/>
    </row>
    <row r="2025" spans="1:7" ht="14.1" customHeight="1">
      <c r="A2025" s="480">
        <v>1</v>
      </c>
      <c r="B2025" s="384" t="s">
        <v>1002</v>
      </c>
      <c r="C2025" s="305" t="s">
        <v>362</v>
      </c>
      <c r="D2025" s="385">
        <f>250*3.5</f>
        <v>875</v>
      </c>
      <c r="E2025" s="18">
        <f>'MAT 31-10-2013'!R$14</f>
        <v>1.013611111111111</v>
      </c>
      <c r="F2025" s="375">
        <f>ROUND(D2025*E2025, 2)</f>
        <v>886.91</v>
      </c>
      <c r="G2025" s="1"/>
    </row>
    <row r="2026" spans="1:7" ht="14.1" customHeight="1">
      <c r="A2026" s="480">
        <v>2</v>
      </c>
      <c r="B2026" s="384" t="s">
        <v>1070</v>
      </c>
      <c r="C2026" s="305" t="s">
        <v>53</v>
      </c>
      <c r="D2026" s="385">
        <f>0.65*3.5</f>
        <v>2.2749999999999999</v>
      </c>
      <c r="E2026" s="18">
        <f>'MAT 31-10-2013'!R$5</f>
        <v>39.059027777777771</v>
      </c>
      <c r="F2026" s="375">
        <f t="shared" ref="F2026:F2036" si="101">ROUND(D2026*E2026, 2)</f>
        <v>88.86</v>
      </c>
      <c r="G2026" s="1"/>
    </row>
    <row r="2027" spans="1:7" ht="14.1" customHeight="1">
      <c r="A2027" s="480">
        <v>3</v>
      </c>
      <c r="B2027" s="384" t="s">
        <v>1071</v>
      </c>
      <c r="C2027" s="305" t="s">
        <v>53</v>
      </c>
      <c r="D2027" s="385">
        <f>0.65*3.5</f>
        <v>2.2749999999999999</v>
      </c>
      <c r="E2027" s="18">
        <f>'MAT 31-10-2013'!R$7</f>
        <v>39.059027777777771</v>
      </c>
      <c r="F2027" s="375">
        <f t="shared" si="101"/>
        <v>88.86</v>
      </c>
      <c r="G2027" s="1"/>
    </row>
    <row r="2028" spans="1:7" ht="14.1" customHeight="1">
      <c r="A2028" s="480">
        <v>4</v>
      </c>
      <c r="B2028" s="384" t="s">
        <v>1003</v>
      </c>
      <c r="C2028" s="305" t="s">
        <v>362</v>
      </c>
      <c r="D2028" s="385">
        <f>20*3.5</f>
        <v>70</v>
      </c>
      <c r="E2028" s="18">
        <f>'MAT 31-10-2013'!R$32</f>
        <v>11.376875</v>
      </c>
      <c r="F2028" s="375">
        <f t="shared" si="101"/>
        <v>796.38</v>
      </c>
      <c r="G2028" s="1"/>
    </row>
    <row r="2029" spans="1:7" ht="14.1" customHeight="1">
      <c r="A2029" s="480">
        <v>5</v>
      </c>
      <c r="B2029" s="384" t="s">
        <v>1072</v>
      </c>
      <c r="C2029" s="305" t="s">
        <v>362</v>
      </c>
      <c r="D2029" s="385">
        <f>10*3.5</f>
        <v>35</v>
      </c>
      <c r="E2029" s="18">
        <f>'MAT 31-10-2013'!R$35</f>
        <v>18.193777777777775</v>
      </c>
      <c r="F2029" s="375">
        <f t="shared" si="101"/>
        <v>636.78</v>
      </c>
      <c r="G2029" s="1"/>
    </row>
    <row r="2030" spans="1:7" ht="14.1" customHeight="1">
      <c r="A2030" s="480">
        <v>6</v>
      </c>
      <c r="B2030" s="384" t="s">
        <v>1074</v>
      </c>
      <c r="C2030" s="305" t="s">
        <v>329</v>
      </c>
      <c r="D2030" s="385">
        <f>30*3.5</f>
        <v>105</v>
      </c>
      <c r="E2030" s="18">
        <f>'MAT 31-10-2013'!R$80</f>
        <v>6.75</v>
      </c>
      <c r="F2030" s="375">
        <f t="shared" si="101"/>
        <v>708.75</v>
      </c>
      <c r="G2030" s="1"/>
    </row>
    <row r="2031" spans="1:7" ht="14.1" customHeight="1">
      <c r="A2031" s="480">
        <v>7</v>
      </c>
      <c r="B2031" s="384" t="s">
        <v>1073</v>
      </c>
      <c r="C2031" s="305" t="s">
        <v>362</v>
      </c>
      <c r="D2031" s="385">
        <f>10*3.5</f>
        <v>35</v>
      </c>
      <c r="E2031" s="18">
        <f>'MAT 31-10-2013'!R$37</f>
        <v>16.809374999999999</v>
      </c>
      <c r="F2031" s="375">
        <f t="shared" si="101"/>
        <v>588.33000000000004</v>
      </c>
      <c r="G2031" s="1"/>
    </row>
    <row r="2032" spans="1:7" ht="14.1" customHeight="1">
      <c r="A2032" s="480">
        <v>8</v>
      </c>
      <c r="B2032" s="220"/>
      <c r="C2032" s="394"/>
      <c r="D2032" s="224"/>
      <c r="E2032" s="18"/>
      <c r="F2032" s="375">
        <f t="shared" si="101"/>
        <v>0</v>
      </c>
      <c r="G2032" s="1"/>
    </row>
    <row r="2033" spans="1:7" ht="14.1" customHeight="1">
      <c r="A2033" s="480">
        <v>9</v>
      </c>
      <c r="B2033" s="220"/>
      <c r="C2033" s="394"/>
      <c r="D2033" s="224"/>
      <c r="E2033" s="18"/>
      <c r="F2033" s="375">
        <f t="shared" si="101"/>
        <v>0</v>
      </c>
      <c r="G2033" s="1"/>
    </row>
    <row r="2034" spans="1:7" ht="14.1" customHeight="1">
      <c r="A2034" s="480">
        <v>10</v>
      </c>
      <c r="B2034" s="13"/>
      <c r="C2034" s="11"/>
      <c r="D2034" s="14"/>
      <c r="E2034" s="18"/>
      <c r="F2034" s="375">
        <f t="shared" si="101"/>
        <v>0</v>
      </c>
      <c r="G2034" s="1"/>
    </row>
    <row r="2035" spans="1:7" ht="14.1" customHeight="1">
      <c r="A2035" s="480">
        <v>11</v>
      </c>
      <c r="B2035" s="13"/>
      <c r="C2035" s="11"/>
      <c r="D2035" s="11"/>
      <c r="E2035" s="18"/>
      <c r="F2035" s="375">
        <f t="shared" si="101"/>
        <v>0</v>
      </c>
      <c r="G2035" s="1"/>
    </row>
    <row r="2036" spans="1:7" ht="14.1" customHeight="1" thickBot="1">
      <c r="A2036" s="480">
        <v>12</v>
      </c>
      <c r="B2036" s="13"/>
      <c r="C2036" s="11"/>
      <c r="D2036" s="11"/>
      <c r="E2036" s="18"/>
      <c r="F2036" s="375">
        <f t="shared" si="101"/>
        <v>0</v>
      </c>
      <c r="G2036" s="1"/>
    </row>
    <row r="2037" spans="1:7" ht="14.1" customHeight="1" thickBot="1">
      <c r="A2037" s="481"/>
      <c r="B2037" s="5"/>
      <c r="C2037" s="367"/>
      <c r="D2037" s="367"/>
      <c r="E2037" s="367" t="s">
        <v>151</v>
      </c>
      <c r="F2037" s="376">
        <f>SUM(F2025:F2036)</f>
        <v>3794.87</v>
      </c>
      <c r="G2037" s="1"/>
    </row>
    <row r="2038" spans="1:7" ht="14.1" customHeight="1">
      <c r="A2038" s="482"/>
      <c r="B2038" s="393"/>
      <c r="C2038" s="396"/>
      <c r="D2038" s="396"/>
      <c r="E2038" s="396"/>
      <c r="F2038" s="396"/>
      <c r="G2038" s="1"/>
    </row>
    <row r="2039" spans="1:7" ht="14.1" customHeight="1">
      <c r="A2039" s="625" t="s">
        <v>152</v>
      </c>
      <c r="B2039" s="625"/>
      <c r="C2039" s="625"/>
      <c r="D2039" s="625"/>
      <c r="E2039" s="625"/>
      <c r="F2039" s="625"/>
      <c r="G2039" s="1"/>
    </row>
    <row r="2040" spans="1:7" ht="14.1" customHeight="1">
      <c r="A2040" s="482"/>
      <c r="B2040" s="393"/>
      <c r="C2040" s="396"/>
      <c r="D2040" s="396"/>
      <c r="E2040" s="396"/>
      <c r="F2040" s="367"/>
      <c r="G2040" s="1"/>
    </row>
    <row r="2041" spans="1:7" ht="14.1" customHeight="1">
      <c r="A2041" s="480">
        <v>13</v>
      </c>
      <c r="B2041" s="17" t="s">
        <v>153</v>
      </c>
      <c r="C2041" s="11" t="s">
        <v>154</v>
      </c>
      <c r="D2041" s="14">
        <v>0</v>
      </c>
      <c r="E2041" s="18">
        <f>'Mano de obra'!$J$20</f>
        <v>82.610000000000014</v>
      </c>
      <c r="F2041" s="375">
        <f>ROUND(D2041*E2041, 2)</f>
        <v>0</v>
      </c>
      <c r="G2041" s="1"/>
    </row>
    <row r="2042" spans="1:7" ht="14.1" customHeight="1">
      <c r="A2042" s="480">
        <v>14</v>
      </c>
      <c r="B2042" s="17" t="s">
        <v>155</v>
      </c>
      <c r="C2042" s="11" t="s">
        <v>154</v>
      </c>
      <c r="D2042" s="14">
        <f>12*3</f>
        <v>36</v>
      </c>
      <c r="E2042" s="18">
        <f>'Mano de obra'!$J$21</f>
        <v>70.38</v>
      </c>
      <c r="F2042" s="375">
        <f t="shared" ref="F2042:F2045" si="102">ROUND(D2042*E2042, 2)</f>
        <v>2533.6799999999998</v>
      </c>
      <c r="G2042" s="1"/>
    </row>
    <row r="2043" spans="1:7" ht="14.1" customHeight="1">
      <c r="A2043" s="480">
        <v>15</v>
      </c>
      <c r="B2043" s="17" t="s">
        <v>156</v>
      </c>
      <c r="C2043" s="11" t="s">
        <v>154</v>
      </c>
      <c r="D2043" s="14">
        <v>0</v>
      </c>
      <c r="E2043" s="18">
        <f>'Mano de obra'!$J$22</f>
        <v>64.78</v>
      </c>
      <c r="F2043" s="375">
        <f t="shared" si="102"/>
        <v>0</v>
      </c>
      <c r="G2043" s="1"/>
    </row>
    <row r="2044" spans="1:7" ht="14.1" customHeight="1">
      <c r="A2044" s="480">
        <v>16</v>
      </c>
      <c r="B2044" s="17" t="s">
        <v>157</v>
      </c>
      <c r="C2044" s="11" t="s">
        <v>154</v>
      </c>
      <c r="D2044" s="14">
        <f>10*3</f>
        <v>30</v>
      </c>
      <c r="E2044" s="18">
        <f>'Mano de obra'!$J$23</f>
        <v>59.800000000000004</v>
      </c>
      <c r="F2044" s="375">
        <f t="shared" si="102"/>
        <v>1794</v>
      </c>
      <c r="G2044" s="1"/>
    </row>
    <row r="2045" spans="1:7" ht="14.1" customHeight="1" thickBot="1">
      <c r="A2045" s="480">
        <v>17</v>
      </c>
      <c r="B2045" s="13"/>
      <c r="C2045" s="11"/>
      <c r="D2045" s="11"/>
      <c r="E2045" s="18"/>
      <c r="F2045" s="375">
        <f t="shared" si="102"/>
        <v>0</v>
      </c>
      <c r="G2045" s="1"/>
    </row>
    <row r="2046" spans="1:7" ht="14.1" customHeight="1" thickBot="1">
      <c r="A2046" s="483"/>
      <c r="B2046" s="393"/>
      <c r="C2046" s="396"/>
      <c r="D2046" s="396"/>
      <c r="E2046" s="367" t="s">
        <v>158</v>
      </c>
      <c r="F2046" s="376">
        <f>SUM(F2041:F2045)</f>
        <v>4327.68</v>
      </c>
      <c r="G2046" s="1"/>
    </row>
    <row r="2047" spans="1:7" ht="14.1" customHeight="1" thickBot="1">
      <c r="A2047" s="484"/>
      <c r="B2047" s="393"/>
      <c r="C2047" s="396"/>
      <c r="D2047" s="396"/>
      <c r="E2047" s="396"/>
      <c r="F2047" s="367"/>
      <c r="G2047" s="1"/>
    </row>
    <row r="2048" spans="1:7" ht="14.1" customHeight="1" thickBot="1">
      <c r="A2048" s="480"/>
      <c r="B2048" s="142" t="s">
        <v>273</v>
      </c>
      <c r="C2048" s="369"/>
      <c r="D2048" s="369"/>
      <c r="E2048" s="377" t="s">
        <v>159</v>
      </c>
      <c r="F2048" s="376">
        <f>SUM(F2037+F2046)</f>
        <v>8122.55</v>
      </c>
      <c r="G2048" s="1"/>
    </row>
    <row r="2049" spans="1:7" ht="15" customHeight="1">
      <c r="A2049" s="626"/>
      <c r="B2049" s="627" t="s">
        <v>274</v>
      </c>
      <c r="C2049" s="628"/>
      <c r="D2049" s="628"/>
      <c r="E2049" s="629" t="s">
        <v>275</v>
      </c>
      <c r="F2049" s="631">
        <f>ROUND(F2048*'Coef. resumen'!$F$23, 2)</f>
        <v>12037.62</v>
      </c>
    </row>
    <row r="2050" spans="1:7" ht="15" customHeight="1" thickBot="1">
      <c r="A2050" s="626"/>
      <c r="B2050" s="627"/>
      <c r="C2050" s="628"/>
      <c r="D2050" s="628"/>
      <c r="E2050" s="630"/>
      <c r="F2050" s="632"/>
    </row>
    <row r="2051" spans="1:7" ht="15">
      <c r="A2051" s="471"/>
      <c r="B2051" s="2"/>
      <c r="C2051" s="397"/>
      <c r="D2051" s="397"/>
      <c r="E2051" s="397"/>
      <c r="F2051" s="397"/>
    </row>
    <row r="2052" spans="1:7" ht="15">
      <c r="A2052" s="471"/>
      <c r="B2052" s="2"/>
      <c r="C2052" s="397"/>
      <c r="D2052" s="397"/>
      <c r="E2052" s="397"/>
      <c r="F2052" s="397"/>
    </row>
    <row r="2053" spans="1:7" ht="15">
      <c r="A2053" s="471"/>
      <c r="B2053" s="194" t="str">
        <f>'Coef. resumen'!$B$30</f>
        <v>Julián Antonelli</v>
      </c>
      <c r="C2053" s="524"/>
      <c r="D2053" s="524"/>
      <c r="E2053" s="194" t="str">
        <f>'Coef. resumen'!$E$30</f>
        <v>Marcelo A. Pasquini</v>
      </c>
      <c r="F2053" s="397"/>
    </row>
    <row r="2054" spans="1:7" ht="15">
      <c r="A2054" s="471"/>
      <c r="B2054" s="194" t="str">
        <f>'Coef. resumen'!$B$31</f>
        <v>Ing. Civil M.P. 2161</v>
      </c>
      <c r="C2054" s="524"/>
      <c r="D2054" s="524"/>
      <c r="E2054" s="194" t="str">
        <f>'Coef. resumen'!$E$31</f>
        <v>Socio Gerente</v>
      </c>
      <c r="F2054" s="397"/>
    </row>
    <row r="2055" spans="1:7" ht="15">
      <c r="A2055" s="471"/>
      <c r="B2055" s="194" t="str">
        <f>'Coef. resumen'!$B$32</f>
        <v>Representante Técnico</v>
      </c>
      <c r="C2055" s="524"/>
      <c r="D2055" s="19"/>
      <c r="E2055" s="194" t="str">
        <f>'Coef. resumen'!$E$32</f>
        <v>Pasquini Construcciones SRL</v>
      </c>
      <c r="F2055" s="397"/>
    </row>
    <row r="2056" spans="1:7" ht="15">
      <c r="A2056" s="471"/>
      <c r="B2056" s="194"/>
      <c r="C2056" s="397"/>
      <c r="D2056" s="19"/>
      <c r="E2056" s="194"/>
      <c r="F2056" s="397"/>
    </row>
    <row r="2057" spans="1:7" ht="14.1" customHeight="1">
      <c r="A2057" s="477" t="s">
        <v>142</v>
      </c>
      <c r="B2057" s="613" t="str">
        <f>Presupuesto!B82</f>
        <v>Provisión y colocación de losa con marco y tapa de HºFº diámetro 600 mm tipo pesado</v>
      </c>
      <c r="C2057" s="614"/>
      <c r="D2057" s="615"/>
      <c r="E2057" s="367" t="s">
        <v>143</v>
      </c>
      <c r="F2057" s="30" t="str">
        <f>Presupuesto!C82</f>
        <v>un</v>
      </c>
      <c r="G2057" s="1"/>
    </row>
    <row r="2058" spans="1:7" ht="14.1" customHeight="1">
      <c r="A2058" s="622" t="str">
        <f>Presupuesto!A82</f>
        <v>2.2.3</v>
      </c>
      <c r="B2058" s="616"/>
      <c r="C2058" s="617"/>
      <c r="D2058" s="618"/>
      <c r="E2058" s="367"/>
      <c r="F2058" s="367"/>
      <c r="G2058" s="1"/>
    </row>
    <row r="2059" spans="1:7" ht="14.1" customHeight="1">
      <c r="A2059" s="622"/>
      <c r="B2059" s="616"/>
      <c r="C2059" s="617"/>
      <c r="D2059" s="618"/>
      <c r="E2059" s="367"/>
      <c r="F2059" s="367"/>
      <c r="G2059" s="1"/>
    </row>
    <row r="2060" spans="1:7" ht="14.1" customHeight="1">
      <c r="A2060" s="623"/>
      <c r="B2060" s="619"/>
      <c r="C2060" s="620"/>
      <c r="D2060" s="621"/>
      <c r="E2060" s="367"/>
      <c r="F2060" s="367"/>
      <c r="G2060" s="1"/>
    </row>
    <row r="2061" spans="1:7" ht="14.1" customHeight="1">
      <c r="A2061" s="478"/>
      <c r="B2061" s="29"/>
      <c r="C2061" s="368"/>
      <c r="D2061" s="368"/>
      <c r="E2061" s="365"/>
      <c r="F2061" s="365"/>
      <c r="G2061" s="1"/>
    </row>
    <row r="2062" spans="1:7" ht="14.1" customHeight="1">
      <c r="A2062" s="624" t="s">
        <v>144</v>
      </c>
      <c r="B2062" s="624"/>
      <c r="C2062" s="624"/>
      <c r="D2062" s="624"/>
      <c r="E2062" s="624"/>
      <c r="F2062" s="624"/>
      <c r="G2062" s="1"/>
    </row>
    <row r="2063" spans="1:7" ht="14.1" customHeight="1">
      <c r="A2063" s="479"/>
      <c r="B2063" s="10"/>
      <c r="C2063" s="395"/>
      <c r="D2063" s="395"/>
      <c r="E2063" s="395"/>
      <c r="F2063" s="395"/>
      <c r="G2063" s="1"/>
    </row>
    <row r="2064" spans="1:7" ht="15.95" customHeight="1">
      <c r="A2064" s="480" t="s">
        <v>145</v>
      </c>
      <c r="B2064" s="11" t="s">
        <v>146</v>
      </c>
      <c r="C2064" s="11" t="s">
        <v>147</v>
      </c>
      <c r="D2064" s="11" t="s">
        <v>148</v>
      </c>
      <c r="E2064" s="12" t="s">
        <v>149</v>
      </c>
      <c r="F2064" s="11" t="s">
        <v>150</v>
      </c>
      <c r="G2064" s="1"/>
    </row>
    <row r="2065" spans="1:7" ht="14.1" customHeight="1">
      <c r="A2065" s="480">
        <v>1</v>
      </c>
      <c r="B2065" s="384" t="s">
        <v>1002</v>
      </c>
      <c r="C2065" s="305" t="s">
        <v>362</v>
      </c>
      <c r="D2065" s="385">
        <f>200*0.4</f>
        <v>80</v>
      </c>
      <c r="E2065" s="18">
        <f>'MAT 31-10-2013'!R$14</f>
        <v>1.013611111111111</v>
      </c>
      <c r="F2065" s="375">
        <f>ROUND(D2065*E2065, 2)</f>
        <v>81.09</v>
      </c>
      <c r="G2065" s="1"/>
    </row>
    <row r="2066" spans="1:7" ht="14.1" customHeight="1">
      <c r="A2066" s="480">
        <v>2</v>
      </c>
      <c r="B2066" s="384" t="s">
        <v>1070</v>
      </c>
      <c r="C2066" s="305" t="s">
        <v>53</v>
      </c>
      <c r="D2066" s="385">
        <f>0.65*0.4</f>
        <v>0.26</v>
      </c>
      <c r="E2066" s="18">
        <f>'MAT 31-10-2013'!R$5</f>
        <v>39.059027777777771</v>
      </c>
      <c r="F2066" s="375">
        <f t="shared" ref="F2066:F2076" si="103">ROUND(D2066*E2066, 2)</f>
        <v>10.16</v>
      </c>
      <c r="G2066" s="1"/>
    </row>
    <row r="2067" spans="1:7" ht="14.1" customHeight="1">
      <c r="A2067" s="480">
        <v>3</v>
      </c>
      <c r="B2067" s="384" t="s">
        <v>1071</v>
      </c>
      <c r="C2067" s="305" t="s">
        <v>53</v>
      </c>
      <c r="D2067" s="385">
        <f>0.65*0.4</f>
        <v>0.26</v>
      </c>
      <c r="E2067" s="18">
        <f>'MAT 31-10-2013'!R$7</f>
        <v>39.059027777777771</v>
      </c>
      <c r="F2067" s="375">
        <f t="shared" si="103"/>
        <v>10.16</v>
      </c>
      <c r="G2067" s="1"/>
    </row>
    <row r="2068" spans="1:7" ht="14.1" customHeight="1">
      <c r="A2068" s="480">
        <v>4</v>
      </c>
      <c r="B2068" s="384" t="s">
        <v>1003</v>
      </c>
      <c r="C2068" s="305" t="s">
        <v>362</v>
      </c>
      <c r="D2068" s="385">
        <f>40*0.4</f>
        <v>16</v>
      </c>
      <c r="E2068" s="18">
        <f>'MAT 31-10-2013'!R$32</f>
        <v>11.376875</v>
      </c>
      <c r="F2068" s="375">
        <f t="shared" si="103"/>
        <v>182.03</v>
      </c>
      <c r="G2068" s="1"/>
    </row>
    <row r="2069" spans="1:7" ht="14.1" customHeight="1">
      <c r="A2069" s="480">
        <v>5</v>
      </c>
      <c r="B2069" s="384" t="s">
        <v>1072</v>
      </c>
      <c r="C2069" s="305" t="s">
        <v>362</v>
      </c>
      <c r="D2069" s="385">
        <f>10*0.4</f>
        <v>4</v>
      </c>
      <c r="E2069" s="18">
        <f>'MAT 31-10-2013'!R$35</f>
        <v>18.193777777777775</v>
      </c>
      <c r="F2069" s="375">
        <f t="shared" si="103"/>
        <v>72.78</v>
      </c>
      <c r="G2069" s="1"/>
    </row>
    <row r="2070" spans="1:7" ht="14.1" customHeight="1">
      <c r="A2070" s="480">
        <v>6</v>
      </c>
      <c r="B2070" s="384" t="s">
        <v>1074</v>
      </c>
      <c r="C2070" s="305" t="s">
        <v>329</v>
      </c>
      <c r="D2070" s="385">
        <f>40*0.4</f>
        <v>16</v>
      </c>
      <c r="E2070" s="18">
        <f>'MAT 31-10-2013'!R$80</f>
        <v>6.75</v>
      </c>
      <c r="F2070" s="375">
        <f t="shared" si="103"/>
        <v>108</v>
      </c>
      <c r="G2070" s="1"/>
    </row>
    <row r="2071" spans="1:7" ht="14.1" customHeight="1">
      <c r="A2071" s="480">
        <v>7</v>
      </c>
      <c r="B2071" s="384" t="s">
        <v>1073</v>
      </c>
      <c r="C2071" s="305" t="s">
        <v>362</v>
      </c>
      <c r="D2071" s="385">
        <f>10*0.4</f>
        <v>4</v>
      </c>
      <c r="E2071" s="18">
        <f>'MAT 31-10-2013'!R$37</f>
        <v>16.809374999999999</v>
      </c>
      <c r="F2071" s="375">
        <f t="shared" si="103"/>
        <v>67.239999999999995</v>
      </c>
      <c r="G2071" s="1"/>
    </row>
    <row r="2072" spans="1:7" ht="14.1" customHeight="1">
      <c r="A2072" s="480">
        <v>8</v>
      </c>
      <c r="B2072" s="220" t="s">
        <v>1178</v>
      </c>
      <c r="C2072" s="394" t="s">
        <v>433</v>
      </c>
      <c r="D2072" s="224">
        <v>1</v>
      </c>
      <c r="E2072" s="18">
        <f>660*1.1</f>
        <v>726.00000000000011</v>
      </c>
      <c r="F2072" s="375">
        <f t="shared" si="103"/>
        <v>726</v>
      </c>
      <c r="G2072" s="1"/>
    </row>
    <row r="2073" spans="1:7" ht="14.1" customHeight="1">
      <c r="A2073" s="480">
        <v>9</v>
      </c>
      <c r="B2073" s="220"/>
      <c r="C2073" s="394"/>
      <c r="D2073" s="224"/>
      <c r="E2073" s="18"/>
      <c r="F2073" s="375">
        <f t="shared" si="103"/>
        <v>0</v>
      </c>
      <c r="G2073" s="1"/>
    </row>
    <row r="2074" spans="1:7" ht="14.1" customHeight="1">
      <c r="A2074" s="480">
        <v>10</v>
      </c>
      <c r="B2074" s="13"/>
      <c r="C2074" s="11"/>
      <c r="D2074" s="14"/>
      <c r="E2074" s="18"/>
      <c r="F2074" s="375">
        <f t="shared" si="103"/>
        <v>0</v>
      </c>
      <c r="G2074" s="1"/>
    </row>
    <row r="2075" spans="1:7" ht="14.1" customHeight="1">
      <c r="A2075" s="480">
        <v>11</v>
      </c>
      <c r="B2075" s="13"/>
      <c r="C2075" s="11"/>
      <c r="D2075" s="11"/>
      <c r="E2075" s="18"/>
      <c r="F2075" s="375">
        <f t="shared" si="103"/>
        <v>0</v>
      </c>
      <c r="G2075" s="1"/>
    </row>
    <row r="2076" spans="1:7" ht="14.1" customHeight="1" thickBot="1">
      <c r="A2076" s="480">
        <v>12</v>
      </c>
      <c r="B2076" s="13"/>
      <c r="C2076" s="11"/>
      <c r="D2076" s="11"/>
      <c r="E2076" s="18"/>
      <c r="F2076" s="375">
        <f t="shared" si="103"/>
        <v>0</v>
      </c>
      <c r="G2076" s="1"/>
    </row>
    <row r="2077" spans="1:7" ht="14.1" customHeight="1" thickBot="1">
      <c r="A2077" s="481"/>
      <c r="B2077" s="5"/>
      <c r="C2077" s="367"/>
      <c r="D2077" s="367"/>
      <c r="E2077" s="367" t="s">
        <v>151</v>
      </c>
      <c r="F2077" s="376">
        <f>SUM(F2065:F2076)</f>
        <v>1257.46</v>
      </c>
      <c r="G2077" s="1"/>
    </row>
    <row r="2078" spans="1:7" ht="14.1" customHeight="1">
      <c r="A2078" s="482"/>
      <c r="B2078" s="393"/>
      <c r="C2078" s="396"/>
      <c r="D2078" s="396"/>
      <c r="E2078" s="396"/>
      <c r="F2078" s="396"/>
      <c r="G2078" s="1"/>
    </row>
    <row r="2079" spans="1:7" ht="14.1" customHeight="1">
      <c r="A2079" s="625" t="s">
        <v>152</v>
      </c>
      <c r="B2079" s="625"/>
      <c r="C2079" s="625"/>
      <c r="D2079" s="625"/>
      <c r="E2079" s="625"/>
      <c r="F2079" s="625"/>
      <c r="G2079" s="1"/>
    </row>
    <row r="2080" spans="1:7" ht="14.1" customHeight="1">
      <c r="A2080" s="482"/>
      <c r="B2080" s="393"/>
      <c r="C2080" s="396"/>
      <c r="D2080" s="396"/>
      <c r="E2080" s="396"/>
      <c r="F2080" s="367"/>
      <c r="G2080" s="1"/>
    </row>
    <row r="2081" spans="1:7" ht="14.1" customHeight="1">
      <c r="A2081" s="480">
        <v>13</v>
      </c>
      <c r="B2081" s="17" t="s">
        <v>153</v>
      </c>
      <c r="C2081" s="11" t="s">
        <v>154</v>
      </c>
      <c r="D2081" s="14">
        <v>0</v>
      </c>
      <c r="E2081" s="18">
        <f>'Mano de obra'!$J$20</f>
        <v>82.610000000000014</v>
      </c>
      <c r="F2081" s="375">
        <f>ROUND(D2081*E2081, 2)</f>
        <v>0</v>
      </c>
      <c r="G2081" s="1"/>
    </row>
    <row r="2082" spans="1:7" ht="14.1" customHeight="1">
      <c r="A2082" s="480">
        <v>14</v>
      </c>
      <c r="B2082" s="17" t="s">
        <v>155</v>
      </c>
      <c r="C2082" s="11" t="s">
        <v>154</v>
      </c>
      <c r="D2082" s="14">
        <v>4</v>
      </c>
      <c r="E2082" s="18">
        <f>'Mano de obra'!$J$21</f>
        <v>70.38</v>
      </c>
      <c r="F2082" s="375">
        <f t="shared" ref="F2082:F2085" si="104">ROUND(D2082*E2082, 2)</f>
        <v>281.52</v>
      </c>
      <c r="G2082" s="1"/>
    </row>
    <row r="2083" spans="1:7" ht="14.1" customHeight="1">
      <c r="A2083" s="480">
        <v>15</v>
      </c>
      <c r="B2083" s="17" t="s">
        <v>156</v>
      </c>
      <c r="C2083" s="11" t="s">
        <v>154</v>
      </c>
      <c r="D2083" s="14">
        <v>0</v>
      </c>
      <c r="E2083" s="18">
        <f>'Mano de obra'!$J$22</f>
        <v>64.78</v>
      </c>
      <c r="F2083" s="375">
        <f t="shared" si="104"/>
        <v>0</v>
      </c>
      <c r="G2083" s="1"/>
    </row>
    <row r="2084" spans="1:7" ht="14.1" customHeight="1">
      <c r="A2084" s="480">
        <v>16</v>
      </c>
      <c r="B2084" s="17" t="s">
        <v>157</v>
      </c>
      <c r="C2084" s="11" t="s">
        <v>154</v>
      </c>
      <c r="D2084" s="14">
        <v>4</v>
      </c>
      <c r="E2084" s="18">
        <f>'Mano de obra'!$J$23</f>
        <v>59.800000000000004</v>
      </c>
      <c r="F2084" s="375">
        <f t="shared" si="104"/>
        <v>239.2</v>
      </c>
      <c r="G2084" s="1"/>
    </row>
    <row r="2085" spans="1:7" ht="14.1" customHeight="1" thickBot="1">
      <c r="A2085" s="480">
        <v>17</v>
      </c>
      <c r="B2085" s="13"/>
      <c r="C2085" s="11"/>
      <c r="D2085" s="11"/>
      <c r="E2085" s="18"/>
      <c r="F2085" s="375">
        <f t="shared" si="104"/>
        <v>0</v>
      </c>
      <c r="G2085" s="1"/>
    </row>
    <row r="2086" spans="1:7" ht="14.1" customHeight="1" thickBot="1">
      <c r="A2086" s="483"/>
      <c r="B2086" s="393"/>
      <c r="C2086" s="396"/>
      <c r="D2086" s="396"/>
      <c r="E2086" s="367" t="s">
        <v>158</v>
      </c>
      <c r="F2086" s="376">
        <f>SUM(F2081:F2085)</f>
        <v>520.72</v>
      </c>
      <c r="G2086" s="1"/>
    </row>
    <row r="2087" spans="1:7" ht="14.1" customHeight="1" thickBot="1">
      <c r="A2087" s="484"/>
      <c r="B2087" s="393"/>
      <c r="C2087" s="396"/>
      <c r="D2087" s="396"/>
      <c r="E2087" s="396"/>
      <c r="F2087" s="367"/>
      <c r="G2087" s="1"/>
    </row>
    <row r="2088" spans="1:7" ht="14.1" customHeight="1" thickBot="1">
      <c r="A2088" s="480"/>
      <c r="B2088" s="142" t="s">
        <v>273</v>
      </c>
      <c r="C2088" s="369"/>
      <c r="D2088" s="369"/>
      <c r="E2088" s="377" t="s">
        <v>159</v>
      </c>
      <c r="F2088" s="376">
        <f>SUM(F2077+F2086)</f>
        <v>1778.18</v>
      </c>
      <c r="G2088" s="1"/>
    </row>
    <row r="2089" spans="1:7" ht="15" customHeight="1">
      <c r="A2089" s="626"/>
      <c r="B2089" s="627" t="s">
        <v>274</v>
      </c>
      <c r="C2089" s="628"/>
      <c r="D2089" s="628"/>
      <c r="E2089" s="629" t="s">
        <v>275</v>
      </c>
      <c r="F2089" s="631">
        <f>ROUND(F2088*'Coef. resumen'!$F$23, 2)</f>
        <v>2635.26</v>
      </c>
    </row>
    <row r="2090" spans="1:7" ht="15" customHeight="1" thickBot="1">
      <c r="A2090" s="626"/>
      <c r="B2090" s="627"/>
      <c r="C2090" s="628"/>
      <c r="D2090" s="628"/>
      <c r="E2090" s="630"/>
      <c r="F2090" s="632"/>
    </row>
    <row r="2091" spans="1:7" ht="15">
      <c r="A2091" s="471"/>
      <c r="B2091" s="2"/>
      <c r="C2091" s="397"/>
      <c r="D2091" s="397"/>
      <c r="E2091" s="397"/>
      <c r="F2091" s="397"/>
    </row>
    <row r="2092" spans="1:7" ht="15">
      <c r="A2092" s="471"/>
      <c r="B2092" s="2"/>
      <c r="C2092" s="397"/>
      <c r="D2092" s="397"/>
      <c r="E2092" s="397"/>
      <c r="F2092" s="397"/>
    </row>
    <row r="2093" spans="1:7" ht="15">
      <c r="A2093" s="471"/>
      <c r="B2093" s="194" t="str">
        <f>'Coef. resumen'!$B$30</f>
        <v>Julián Antonelli</v>
      </c>
      <c r="C2093" s="524"/>
      <c r="D2093" s="524"/>
      <c r="E2093" s="194" t="str">
        <f>'Coef. resumen'!$E$30</f>
        <v>Marcelo A. Pasquini</v>
      </c>
      <c r="F2093" s="397"/>
    </row>
    <row r="2094" spans="1:7" ht="15">
      <c r="A2094" s="471"/>
      <c r="B2094" s="194" t="str">
        <f>'Coef. resumen'!$B$31</f>
        <v>Ing. Civil M.P. 2161</v>
      </c>
      <c r="C2094" s="524"/>
      <c r="D2094" s="524"/>
      <c r="E2094" s="194" t="str">
        <f>'Coef. resumen'!$E$31</f>
        <v>Socio Gerente</v>
      </c>
      <c r="F2094" s="397"/>
    </row>
    <row r="2095" spans="1:7" ht="15">
      <c r="A2095" s="471"/>
      <c r="B2095" s="194" t="str">
        <f>'Coef. resumen'!$B$32</f>
        <v>Representante Técnico</v>
      </c>
      <c r="C2095" s="524"/>
      <c r="D2095" s="19"/>
      <c r="E2095" s="194" t="str">
        <f>'Coef. resumen'!$E$32</f>
        <v>Pasquini Construcciones SRL</v>
      </c>
      <c r="F2095" s="397"/>
    </row>
    <row r="2096" spans="1:7" ht="15">
      <c r="A2096" s="471"/>
      <c r="B2096" s="194"/>
      <c r="C2096" s="397"/>
      <c r="D2096" s="19"/>
      <c r="E2096" s="194"/>
      <c r="F2096" s="397"/>
    </row>
    <row r="2097" spans="1:14" ht="14.1" customHeight="1">
      <c r="A2097" s="477" t="s">
        <v>142</v>
      </c>
      <c r="B2097" s="613" t="str">
        <f>Presupuesto!B84</f>
        <v>Excavación y tapado de zanja para red de cloacal</v>
      </c>
      <c r="C2097" s="614"/>
      <c r="D2097" s="615"/>
      <c r="E2097" s="367" t="s">
        <v>143</v>
      </c>
      <c r="F2097" s="30" t="str">
        <f>Presupuesto!C84</f>
        <v>m3</v>
      </c>
      <c r="G2097" s="1"/>
    </row>
    <row r="2098" spans="1:14" ht="14.1" customHeight="1">
      <c r="A2098" s="622" t="str">
        <f>Presupuesto!A84</f>
        <v>2.3.1</v>
      </c>
      <c r="B2098" s="616"/>
      <c r="C2098" s="617"/>
      <c r="D2098" s="618"/>
      <c r="E2098" s="367"/>
      <c r="F2098" s="367"/>
      <c r="G2098" s="1"/>
    </row>
    <row r="2099" spans="1:14" ht="14.1" customHeight="1">
      <c r="A2099" s="622"/>
      <c r="B2099" s="616"/>
      <c r="C2099" s="617"/>
      <c r="D2099" s="618"/>
      <c r="E2099" s="367"/>
      <c r="F2099" s="367"/>
      <c r="G2099" s="1"/>
    </row>
    <row r="2100" spans="1:14" ht="14.1" customHeight="1">
      <c r="A2100" s="623"/>
      <c r="B2100" s="619"/>
      <c r="C2100" s="620"/>
      <c r="D2100" s="621"/>
      <c r="E2100" s="367"/>
      <c r="F2100" s="367"/>
      <c r="G2100" s="1"/>
    </row>
    <row r="2101" spans="1:14" ht="14.1" customHeight="1">
      <c r="A2101" s="478"/>
      <c r="B2101" s="29"/>
      <c r="C2101" s="368"/>
      <c r="D2101" s="368"/>
      <c r="E2101" s="365"/>
      <c r="F2101" s="365"/>
      <c r="G2101" s="1"/>
    </row>
    <row r="2102" spans="1:14" ht="14.1" customHeight="1">
      <c r="A2102" s="624" t="s">
        <v>144</v>
      </c>
      <c r="B2102" s="624"/>
      <c r="C2102" s="624"/>
      <c r="D2102" s="624"/>
      <c r="E2102" s="624"/>
      <c r="F2102" s="624"/>
      <c r="G2102" s="1"/>
    </row>
    <row r="2103" spans="1:14" ht="14.1" customHeight="1">
      <c r="A2103" s="479"/>
      <c r="B2103" s="10"/>
      <c r="C2103" s="400"/>
      <c r="D2103" s="400"/>
      <c r="E2103" s="400"/>
      <c r="F2103" s="400"/>
      <c r="G2103" s="1"/>
    </row>
    <row r="2104" spans="1:14" ht="15.95" customHeight="1">
      <c r="A2104" s="480" t="s">
        <v>145</v>
      </c>
      <c r="B2104" s="11" t="s">
        <v>146</v>
      </c>
      <c r="C2104" s="11" t="s">
        <v>147</v>
      </c>
      <c r="D2104" s="11" t="s">
        <v>148</v>
      </c>
      <c r="E2104" s="12" t="s">
        <v>149</v>
      </c>
      <c r="F2104" s="11" t="s">
        <v>150</v>
      </c>
      <c r="G2104" s="1"/>
      <c r="H2104" s="389"/>
      <c r="I2104" s="389"/>
      <c r="J2104" s="389"/>
      <c r="K2104" s="389"/>
      <c r="L2104" s="389"/>
      <c r="M2104" s="389"/>
      <c r="N2104" s="389"/>
    </row>
    <row r="2105" spans="1:14" ht="14.1" customHeight="1">
      <c r="A2105" s="480">
        <v>1</v>
      </c>
      <c r="B2105" s="220" t="s">
        <v>322</v>
      </c>
      <c r="C2105" s="221" t="s">
        <v>11</v>
      </c>
      <c r="D2105" s="221">
        <v>1</v>
      </c>
      <c r="E2105" s="18">
        <v>5</v>
      </c>
      <c r="F2105" s="375">
        <f>ROUND(D2105*E2105, 2)</f>
        <v>5</v>
      </c>
      <c r="G2105" s="1"/>
      <c r="H2105" s="389"/>
      <c r="I2105" s="389"/>
      <c r="J2105" s="389"/>
      <c r="K2105" s="389"/>
      <c r="L2105" s="389"/>
      <c r="M2105" s="389"/>
      <c r="N2105" s="389"/>
    </row>
    <row r="2106" spans="1:14" ht="14.1" customHeight="1">
      <c r="A2106" s="480">
        <v>2</v>
      </c>
      <c r="B2106" s="222" t="s">
        <v>323</v>
      </c>
      <c r="C2106" s="223" t="s">
        <v>329</v>
      </c>
      <c r="D2106" s="224">
        <v>1.2</v>
      </c>
      <c r="E2106" s="18">
        <f>'MAT 31-10-2013'!R$80</f>
        <v>6.75</v>
      </c>
      <c r="F2106" s="375">
        <f t="shared" ref="F2106:F2116" si="105">ROUND(D2106*E2106, 2)</f>
        <v>8.1</v>
      </c>
      <c r="G2106" s="1"/>
      <c r="H2106" s="389"/>
      <c r="I2106" s="388"/>
      <c r="J2106" s="388"/>
      <c r="K2106" s="388"/>
      <c r="L2106" s="388"/>
      <c r="M2106" s="390"/>
      <c r="N2106" s="390"/>
    </row>
    <row r="2107" spans="1:14" ht="14.1" customHeight="1">
      <c r="A2107" s="480">
        <v>3</v>
      </c>
      <c r="B2107" s="220" t="s">
        <v>328</v>
      </c>
      <c r="C2107" s="224" t="s">
        <v>53</v>
      </c>
      <c r="D2107" s="224">
        <f>0.2*0.3*1</f>
        <v>0.06</v>
      </c>
      <c r="E2107" s="18">
        <f>'MAT 31-10-2013'!R$5</f>
        <v>39.059027777777771</v>
      </c>
      <c r="F2107" s="375">
        <f t="shared" si="105"/>
        <v>2.34</v>
      </c>
      <c r="G2107" s="1"/>
      <c r="H2107" s="389"/>
      <c r="I2107" s="388"/>
      <c r="J2107" s="388"/>
      <c r="K2107" s="388"/>
      <c r="L2107" s="388"/>
      <c r="M2107" s="390"/>
      <c r="N2107" s="390"/>
    </row>
    <row r="2108" spans="1:14" ht="14.1" customHeight="1">
      <c r="A2108" s="480">
        <v>4</v>
      </c>
      <c r="B2108" s="220" t="s">
        <v>324</v>
      </c>
      <c r="C2108" s="406" t="s">
        <v>325</v>
      </c>
      <c r="D2108" s="224">
        <v>0.12</v>
      </c>
      <c r="E2108" s="18">
        <f>Equipos!S$21</f>
        <v>236.27157024793388</v>
      </c>
      <c r="F2108" s="375">
        <f t="shared" si="105"/>
        <v>28.35</v>
      </c>
      <c r="G2108" s="1"/>
      <c r="H2108" s="389"/>
      <c r="I2108" s="388"/>
      <c r="J2108" s="388"/>
      <c r="K2108" s="388"/>
      <c r="L2108" s="388"/>
      <c r="M2108" s="390"/>
      <c r="N2108" s="390"/>
    </row>
    <row r="2109" spans="1:14" ht="14.1" customHeight="1">
      <c r="A2109" s="480">
        <v>5</v>
      </c>
      <c r="B2109" s="220" t="s">
        <v>1010</v>
      </c>
      <c r="C2109" s="406" t="s">
        <v>325</v>
      </c>
      <c r="D2109" s="224">
        <v>0.06</v>
      </c>
      <c r="E2109" s="18">
        <f>Equipos!S$20</f>
        <v>132.98876033057851</v>
      </c>
      <c r="F2109" s="375">
        <f t="shared" si="105"/>
        <v>7.98</v>
      </c>
      <c r="G2109" s="1"/>
      <c r="H2109" s="389"/>
      <c r="I2109" s="388"/>
      <c r="J2109" s="388"/>
      <c r="K2109" s="388"/>
      <c r="L2109" s="388"/>
      <c r="M2109" s="390"/>
      <c r="N2109" s="390"/>
    </row>
    <row r="2110" spans="1:14" ht="14.1" customHeight="1">
      <c r="A2110" s="480">
        <v>6</v>
      </c>
      <c r="B2110" s="220" t="s">
        <v>265</v>
      </c>
      <c r="C2110" s="406" t="s">
        <v>325</v>
      </c>
      <c r="D2110" s="224">
        <v>0.06</v>
      </c>
      <c r="E2110" s="18">
        <f>Equipos!S$36</f>
        <v>3.5183305785123968</v>
      </c>
      <c r="F2110" s="375">
        <f t="shared" si="105"/>
        <v>0.21</v>
      </c>
      <c r="G2110" s="1"/>
      <c r="H2110" s="389"/>
      <c r="I2110" s="388"/>
      <c r="J2110" s="388"/>
      <c r="K2110" s="388"/>
      <c r="L2110" s="388"/>
      <c r="M2110" s="390"/>
      <c r="N2110" s="390"/>
    </row>
    <row r="2111" spans="1:14" ht="14.1" customHeight="1">
      <c r="A2111" s="480">
        <v>7</v>
      </c>
      <c r="B2111" s="220" t="s">
        <v>326</v>
      </c>
      <c r="C2111" s="406" t="s">
        <v>325</v>
      </c>
      <c r="D2111" s="224">
        <v>0.06</v>
      </c>
      <c r="E2111" s="18">
        <f>Equipos!S$19</f>
        <v>256.28945454545453</v>
      </c>
      <c r="F2111" s="375">
        <f t="shared" si="105"/>
        <v>15.38</v>
      </c>
      <c r="G2111" s="1"/>
      <c r="H2111" s="389"/>
      <c r="I2111" s="388"/>
      <c r="J2111" s="388"/>
      <c r="K2111" s="388"/>
      <c r="L2111" s="388"/>
      <c r="M2111" s="390"/>
      <c r="N2111" s="390"/>
    </row>
    <row r="2112" spans="1:14" ht="14.1" customHeight="1">
      <c r="A2112" s="480">
        <v>8</v>
      </c>
      <c r="B2112" s="220" t="s">
        <v>327</v>
      </c>
      <c r="C2112" s="406" t="s">
        <v>325</v>
      </c>
      <c r="D2112" s="224">
        <v>0.02</v>
      </c>
      <c r="E2112" s="18">
        <f>Equipos!S$24</f>
        <v>302.32601652892561</v>
      </c>
      <c r="F2112" s="375">
        <f t="shared" si="105"/>
        <v>6.05</v>
      </c>
      <c r="G2112" s="1"/>
      <c r="H2112" s="389"/>
      <c r="I2112" s="389"/>
      <c r="J2112" s="389"/>
      <c r="K2112" s="389"/>
      <c r="L2112" s="389"/>
      <c r="M2112" s="389"/>
      <c r="N2112" s="389"/>
    </row>
    <row r="2113" spans="1:14" ht="14.1" customHeight="1">
      <c r="A2113" s="480">
        <v>9</v>
      </c>
      <c r="B2113" s="220" t="s">
        <v>260</v>
      </c>
      <c r="C2113" s="406" t="s">
        <v>325</v>
      </c>
      <c r="D2113" s="224">
        <v>0.1</v>
      </c>
      <c r="E2113" s="18">
        <f>Equipos!S$32</f>
        <v>8.1039256198347118</v>
      </c>
      <c r="F2113" s="375">
        <f t="shared" si="105"/>
        <v>0.81</v>
      </c>
      <c r="G2113" s="1"/>
      <c r="H2113" s="389"/>
      <c r="I2113" s="389"/>
      <c r="J2113" s="389"/>
      <c r="K2113" s="389"/>
      <c r="L2113" s="389"/>
      <c r="M2113" s="389"/>
      <c r="N2113" s="389"/>
    </row>
    <row r="2114" spans="1:14" ht="14.1" customHeight="1">
      <c r="A2114" s="480">
        <v>10</v>
      </c>
      <c r="B2114" s="13"/>
      <c r="C2114" s="11"/>
      <c r="D2114" s="14"/>
      <c r="E2114" s="18"/>
      <c r="F2114" s="375">
        <f t="shared" si="105"/>
        <v>0</v>
      </c>
      <c r="G2114" s="1"/>
    </row>
    <row r="2115" spans="1:14" ht="14.1" customHeight="1">
      <c r="A2115" s="480">
        <v>11</v>
      </c>
      <c r="B2115" s="13"/>
      <c r="C2115" s="11"/>
      <c r="D2115" s="11"/>
      <c r="E2115" s="18"/>
      <c r="F2115" s="375">
        <f t="shared" si="105"/>
        <v>0</v>
      </c>
      <c r="G2115" s="1"/>
    </row>
    <row r="2116" spans="1:14" ht="14.1" customHeight="1" thickBot="1">
      <c r="A2116" s="480">
        <v>12</v>
      </c>
      <c r="B2116" s="13"/>
      <c r="C2116" s="11"/>
      <c r="D2116" s="11"/>
      <c r="E2116" s="18"/>
      <c r="F2116" s="375">
        <f t="shared" si="105"/>
        <v>0</v>
      </c>
      <c r="G2116" s="1"/>
    </row>
    <row r="2117" spans="1:14" ht="14.1" customHeight="1" thickBot="1">
      <c r="A2117" s="481"/>
      <c r="B2117" s="5"/>
      <c r="C2117" s="367"/>
      <c r="D2117" s="367"/>
      <c r="E2117" s="367" t="s">
        <v>151</v>
      </c>
      <c r="F2117" s="376">
        <f>SUM(F2105:F2116)</f>
        <v>74.22</v>
      </c>
      <c r="G2117" s="1"/>
    </row>
    <row r="2118" spans="1:14" ht="14.1" customHeight="1">
      <c r="A2118" s="482"/>
      <c r="B2118" s="405"/>
      <c r="C2118" s="409"/>
      <c r="D2118" s="409"/>
      <c r="E2118" s="409"/>
      <c r="F2118" s="409"/>
      <c r="G2118" s="1"/>
    </row>
    <row r="2119" spans="1:14" ht="14.1" customHeight="1">
      <c r="A2119" s="625" t="s">
        <v>152</v>
      </c>
      <c r="B2119" s="625"/>
      <c r="C2119" s="625"/>
      <c r="D2119" s="625"/>
      <c r="E2119" s="625"/>
      <c r="F2119" s="625"/>
      <c r="G2119" s="1"/>
    </row>
    <row r="2120" spans="1:14" ht="14.1" customHeight="1">
      <c r="A2120" s="482"/>
      <c r="B2120" s="405"/>
      <c r="C2120" s="409"/>
      <c r="D2120" s="409"/>
      <c r="E2120" s="409"/>
      <c r="F2120" s="367"/>
      <c r="G2120" s="1"/>
    </row>
    <row r="2121" spans="1:14" ht="14.1" customHeight="1">
      <c r="A2121" s="480">
        <v>13</v>
      </c>
      <c r="B2121" s="17" t="s">
        <v>153</v>
      </c>
      <c r="C2121" s="11" t="s">
        <v>154</v>
      </c>
      <c r="D2121" s="14">
        <f>D2108+D2109+D2111+D2112</f>
        <v>0.26</v>
      </c>
      <c r="E2121" s="18">
        <f>'Mano de obra'!$J$20</f>
        <v>82.610000000000014</v>
      </c>
      <c r="F2121" s="375">
        <f>ROUND(D2121*E2121, 2)</f>
        <v>21.48</v>
      </c>
      <c r="G2121" s="1"/>
    </row>
    <row r="2122" spans="1:14" ht="14.1" customHeight="1">
      <c r="A2122" s="480">
        <v>14</v>
      </c>
      <c r="B2122" s="17" t="s">
        <v>155</v>
      </c>
      <c r="C2122" s="11" t="s">
        <v>154</v>
      </c>
      <c r="D2122" s="14">
        <v>0.1</v>
      </c>
      <c r="E2122" s="18">
        <f>'Mano de obra'!$J$21</f>
        <v>70.38</v>
      </c>
      <c r="F2122" s="375">
        <f t="shared" ref="F2122:F2125" si="106">ROUND(D2122*E2122, 2)</f>
        <v>7.04</v>
      </c>
      <c r="G2122" s="1"/>
    </row>
    <row r="2123" spans="1:14" ht="14.1" customHeight="1">
      <c r="A2123" s="480">
        <v>15</v>
      </c>
      <c r="B2123" s="17" t="s">
        <v>156</v>
      </c>
      <c r="C2123" s="11" t="s">
        <v>154</v>
      </c>
      <c r="D2123" s="14"/>
      <c r="E2123" s="18">
        <f>'Mano de obra'!$J$22</f>
        <v>64.78</v>
      </c>
      <c r="F2123" s="375">
        <f t="shared" si="106"/>
        <v>0</v>
      </c>
      <c r="G2123" s="1"/>
    </row>
    <row r="2124" spans="1:14" ht="14.1" customHeight="1">
      <c r="A2124" s="480">
        <v>16</v>
      </c>
      <c r="B2124" s="17" t="s">
        <v>157</v>
      </c>
      <c r="C2124" s="11" t="s">
        <v>154</v>
      </c>
      <c r="D2124" s="14">
        <v>0.1</v>
      </c>
      <c r="E2124" s="18">
        <f>'Mano de obra'!$J$23</f>
        <v>59.800000000000004</v>
      </c>
      <c r="F2124" s="375">
        <f t="shared" si="106"/>
        <v>5.98</v>
      </c>
      <c r="G2124" s="1"/>
    </row>
    <row r="2125" spans="1:14" ht="14.1" customHeight="1" thickBot="1">
      <c r="A2125" s="480">
        <v>17</v>
      </c>
      <c r="B2125" s="13"/>
      <c r="C2125" s="11"/>
      <c r="D2125" s="11"/>
      <c r="E2125" s="18"/>
      <c r="F2125" s="375">
        <f t="shared" si="106"/>
        <v>0</v>
      </c>
      <c r="G2125" s="1"/>
    </row>
    <row r="2126" spans="1:14" ht="14.1" customHeight="1" thickBot="1">
      <c r="A2126" s="483"/>
      <c r="B2126" s="405"/>
      <c r="C2126" s="409"/>
      <c r="D2126" s="409"/>
      <c r="E2126" s="367" t="s">
        <v>158</v>
      </c>
      <c r="F2126" s="376">
        <f>SUM(F2121:F2125)</f>
        <v>34.5</v>
      </c>
      <c r="G2126" s="1"/>
    </row>
    <row r="2127" spans="1:14" ht="14.1" customHeight="1" thickBot="1">
      <c r="A2127" s="484"/>
      <c r="B2127" s="405"/>
      <c r="C2127" s="409"/>
      <c r="D2127" s="409"/>
      <c r="E2127" s="409"/>
      <c r="F2127" s="367"/>
      <c r="G2127" s="1"/>
    </row>
    <row r="2128" spans="1:14" ht="14.1" customHeight="1" thickBot="1">
      <c r="A2128" s="480"/>
      <c r="B2128" s="142" t="s">
        <v>273</v>
      </c>
      <c r="C2128" s="369"/>
      <c r="D2128" s="369"/>
      <c r="E2128" s="377" t="s">
        <v>159</v>
      </c>
      <c r="F2128" s="376">
        <f>SUM(F2117+F2126)</f>
        <v>108.72</v>
      </c>
      <c r="G2128" s="1"/>
    </row>
    <row r="2129" spans="1:7" ht="15" customHeight="1">
      <c r="A2129" s="626"/>
      <c r="B2129" s="627" t="s">
        <v>274</v>
      </c>
      <c r="C2129" s="628"/>
      <c r="D2129" s="628"/>
      <c r="E2129" s="629" t="s">
        <v>275</v>
      </c>
      <c r="F2129" s="631">
        <f>ROUND(F2128*'Coef. resumen'!$F$23, 2)</f>
        <v>161.12</v>
      </c>
    </row>
    <row r="2130" spans="1:7" ht="15" customHeight="1" thickBot="1">
      <c r="A2130" s="626"/>
      <c r="B2130" s="627"/>
      <c r="C2130" s="628"/>
      <c r="D2130" s="628"/>
      <c r="E2130" s="630"/>
      <c r="F2130" s="632"/>
    </row>
    <row r="2131" spans="1:7" ht="15">
      <c r="A2131" s="471"/>
      <c r="B2131" s="2"/>
      <c r="C2131" s="402"/>
      <c r="D2131" s="402"/>
      <c r="E2131" s="402"/>
      <c r="F2131" s="402"/>
    </row>
    <row r="2132" spans="1:7" ht="15">
      <c r="A2132" s="471"/>
      <c r="B2132" s="2"/>
      <c r="C2132" s="402"/>
      <c r="D2132" s="402"/>
      <c r="E2132" s="402"/>
      <c r="F2132" s="402"/>
    </row>
    <row r="2133" spans="1:7" ht="15">
      <c r="A2133" s="471"/>
      <c r="B2133" s="194" t="str">
        <f>'Coef. resumen'!$B$30</f>
        <v>Julián Antonelli</v>
      </c>
      <c r="C2133" s="524"/>
      <c r="D2133" s="524"/>
      <c r="E2133" s="194" t="str">
        <f>'Coef. resumen'!$E$30</f>
        <v>Marcelo A. Pasquini</v>
      </c>
      <c r="F2133" s="402"/>
    </row>
    <row r="2134" spans="1:7" ht="15">
      <c r="A2134" s="471"/>
      <c r="B2134" s="194" t="str">
        <f>'Coef. resumen'!$B$31</f>
        <v>Ing. Civil M.P. 2161</v>
      </c>
      <c r="C2134" s="524"/>
      <c r="D2134" s="524"/>
      <c r="E2134" s="194" t="str">
        <f>'Coef. resumen'!$E$31</f>
        <v>Socio Gerente</v>
      </c>
      <c r="F2134" s="402"/>
    </row>
    <row r="2135" spans="1:7" ht="15">
      <c r="A2135" s="471"/>
      <c r="B2135" s="194" t="str">
        <f>'Coef. resumen'!$B$32</f>
        <v>Representante Técnico</v>
      </c>
      <c r="C2135" s="524"/>
      <c r="D2135" s="19"/>
      <c r="E2135" s="194" t="str">
        <f>'Coef. resumen'!$E$32</f>
        <v>Pasquini Construcciones SRL</v>
      </c>
      <c r="F2135" s="402"/>
    </row>
    <row r="2136" spans="1:7" ht="15">
      <c r="A2136" s="471"/>
      <c r="B2136" s="194"/>
      <c r="C2136" s="402"/>
      <c r="D2136" s="19"/>
      <c r="E2136" s="194"/>
      <c r="F2136" s="402"/>
    </row>
    <row r="2137" spans="1:7" ht="14.1" customHeight="1">
      <c r="A2137" s="477" t="s">
        <v>142</v>
      </c>
      <c r="B2137" s="613" t="str">
        <f>Presupuesto!B85</f>
        <v>Provisión y colocación Cañería ø400mm (tubos Khra electrofusión integrada)</v>
      </c>
      <c r="C2137" s="614"/>
      <c r="D2137" s="615"/>
      <c r="E2137" s="367" t="s">
        <v>143</v>
      </c>
      <c r="F2137" s="30" t="str">
        <f>Presupuesto!C85</f>
        <v>ml</v>
      </c>
      <c r="G2137" s="1"/>
    </row>
    <row r="2138" spans="1:7" ht="14.1" customHeight="1">
      <c r="A2138" s="622" t="str">
        <f>Presupuesto!A85</f>
        <v>2.3.2</v>
      </c>
      <c r="B2138" s="616"/>
      <c r="C2138" s="617"/>
      <c r="D2138" s="618"/>
      <c r="E2138" s="367"/>
      <c r="F2138" s="367"/>
      <c r="G2138" s="1"/>
    </row>
    <row r="2139" spans="1:7" ht="14.1" customHeight="1">
      <c r="A2139" s="622"/>
      <c r="B2139" s="616"/>
      <c r="C2139" s="617"/>
      <c r="D2139" s="618"/>
      <c r="E2139" s="367"/>
      <c r="F2139" s="367"/>
      <c r="G2139" s="1"/>
    </row>
    <row r="2140" spans="1:7" ht="14.1" customHeight="1">
      <c r="A2140" s="623"/>
      <c r="B2140" s="619"/>
      <c r="C2140" s="620"/>
      <c r="D2140" s="621"/>
      <c r="E2140" s="367"/>
      <c r="F2140" s="367"/>
      <c r="G2140" s="1"/>
    </row>
    <row r="2141" spans="1:7" ht="14.1" customHeight="1">
      <c r="A2141" s="478"/>
      <c r="B2141" s="29"/>
      <c r="C2141" s="368"/>
      <c r="D2141" s="368"/>
      <c r="E2141" s="365"/>
      <c r="F2141" s="365"/>
      <c r="G2141" s="1"/>
    </row>
    <row r="2142" spans="1:7" ht="14.1" customHeight="1">
      <c r="A2142" s="624" t="s">
        <v>144</v>
      </c>
      <c r="B2142" s="624"/>
      <c r="C2142" s="624"/>
      <c r="D2142" s="624"/>
      <c r="E2142" s="624"/>
      <c r="F2142" s="624"/>
      <c r="G2142" s="1"/>
    </row>
    <row r="2143" spans="1:7" ht="14.1" customHeight="1">
      <c r="A2143" s="479"/>
      <c r="B2143" s="10"/>
      <c r="C2143" s="400"/>
      <c r="D2143" s="400"/>
      <c r="E2143" s="400"/>
      <c r="F2143" s="400"/>
      <c r="G2143" s="1"/>
    </row>
    <row r="2144" spans="1:7" ht="15.95" customHeight="1">
      <c r="A2144" s="480" t="s">
        <v>145</v>
      </c>
      <c r="B2144" s="11" t="s">
        <v>146</v>
      </c>
      <c r="C2144" s="11" t="s">
        <v>147</v>
      </c>
      <c r="D2144" s="11" t="s">
        <v>148</v>
      </c>
      <c r="E2144" s="12" t="s">
        <v>149</v>
      </c>
      <c r="F2144" s="11" t="s">
        <v>150</v>
      </c>
      <c r="G2144" s="1"/>
    </row>
    <row r="2145" spans="1:7" ht="14.1" customHeight="1">
      <c r="A2145" s="480">
        <v>1</v>
      </c>
      <c r="B2145" s="417" t="s">
        <v>1215</v>
      </c>
      <c r="C2145" s="221" t="s">
        <v>12</v>
      </c>
      <c r="D2145" s="221">
        <v>1.05</v>
      </c>
      <c r="E2145" s="18">
        <f>'MAT 31-10-2013'!R207/6</f>
        <v>283.34959442913993</v>
      </c>
      <c r="F2145" s="375">
        <f>ROUND(D2145*E2145, 2)</f>
        <v>297.52</v>
      </c>
      <c r="G2145" s="1"/>
    </row>
    <row r="2146" spans="1:7" ht="14.1" customHeight="1">
      <c r="A2146" s="480">
        <v>2</v>
      </c>
      <c r="B2146" s="220" t="s">
        <v>1179</v>
      </c>
      <c r="C2146" s="221" t="s">
        <v>11</v>
      </c>
      <c r="D2146" s="221">
        <v>1</v>
      </c>
      <c r="E2146" s="18">
        <f>0.1*F2145</f>
        <v>29.751999999999999</v>
      </c>
      <c r="F2146" s="375">
        <f t="shared" ref="F2146:F2156" si="107">ROUND(D2146*E2146, 2)</f>
        <v>29.75</v>
      </c>
      <c r="G2146" s="1"/>
    </row>
    <row r="2147" spans="1:7" ht="14.1" customHeight="1">
      <c r="A2147" s="480">
        <v>3</v>
      </c>
      <c r="B2147" s="220" t="s">
        <v>991</v>
      </c>
      <c r="C2147" s="370" t="s">
        <v>11</v>
      </c>
      <c r="D2147" s="221">
        <v>1</v>
      </c>
      <c r="E2147" s="18">
        <v>3</v>
      </c>
      <c r="F2147" s="375">
        <f t="shared" si="107"/>
        <v>3</v>
      </c>
      <c r="G2147" s="1"/>
    </row>
    <row r="2148" spans="1:7" ht="14.1" customHeight="1">
      <c r="A2148" s="480">
        <v>4</v>
      </c>
      <c r="B2148" s="220" t="s">
        <v>1010</v>
      </c>
      <c r="C2148" s="370" t="s">
        <v>325</v>
      </c>
      <c r="D2148" s="221">
        <v>0.2</v>
      </c>
      <c r="E2148" s="18">
        <f>Equipos!S$20</f>
        <v>132.98876033057851</v>
      </c>
      <c r="F2148" s="375">
        <f t="shared" si="107"/>
        <v>26.6</v>
      </c>
      <c r="G2148" s="1"/>
    </row>
    <row r="2149" spans="1:7" ht="14.1" customHeight="1">
      <c r="A2149" s="480">
        <v>5</v>
      </c>
      <c r="B2149" s="301" t="s">
        <v>265</v>
      </c>
      <c r="C2149" s="370" t="s">
        <v>325</v>
      </c>
      <c r="D2149" s="221">
        <v>0.1</v>
      </c>
      <c r="E2149" s="18">
        <f>Equipos!S$36</f>
        <v>3.5183305785123968</v>
      </c>
      <c r="F2149" s="375">
        <f t="shared" si="107"/>
        <v>0.35</v>
      </c>
      <c r="G2149" s="1"/>
    </row>
    <row r="2150" spans="1:7" ht="14.1" customHeight="1">
      <c r="A2150" s="480">
        <v>6</v>
      </c>
      <c r="B2150" s="220"/>
      <c r="C2150" s="399"/>
      <c r="D2150" s="224"/>
      <c r="E2150" s="18"/>
      <c r="F2150" s="375">
        <f t="shared" si="107"/>
        <v>0</v>
      </c>
      <c r="G2150" s="1"/>
    </row>
    <row r="2151" spans="1:7" ht="14.1" customHeight="1">
      <c r="A2151" s="480">
        <v>7</v>
      </c>
      <c r="B2151" s="220"/>
      <c r="C2151" s="399"/>
      <c r="D2151" s="224"/>
      <c r="E2151" s="18"/>
      <c r="F2151" s="375">
        <f t="shared" si="107"/>
        <v>0</v>
      </c>
      <c r="G2151" s="1"/>
    </row>
    <row r="2152" spans="1:7" ht="14.1" customHeight="1">
      <c r="A2152" s="480">
        <v>8</v>
      </c>
      <c r="B2152" s="220"/>
      <c r="C2152" s="399"/>
      <c r="D2152" s="224"/>
      <c r="E2152" s="18"/>
      <c r="F2152" s="375">
        <f t="shared" si="107"/>
        <v>0</v>
      </c>
      <c r="G2152" s="1"/>
    </row>
    <row r="2153" spans="1:7" ht="14.1" customHeight="1">
      <c r="A2153" s="480">
        <v>9</v>
      </c>
      <c r="B2153" s="220"/>
      <c r="C2153" s="399"/>
      <c r="D2153" s="224"/>
      <c r="E2153" s="18"/>
      <c r="F2153" s="375">
        <f t="shared" si="107"/>
        <v>0</v>
      </c>
      <c r="G2153" s="1"/>
    </row>
    <row r="2154" spans="1:7" ht="14.1" customHeight="1">
      <c r="A2154" s="480">
        <v>10</v>
      </c>
      <c r="B2154" s="13"/>
      <c r="C2154" s="11"/>
      <c r="D2154" s="14"/>
      <c r="E2154" s="18"/>
      <c r="F2154" s="375">
        <f t="shared" si="107"/>
        <v>0</v>
      </c>
      <c r="G2154" s="1"/>
    </row>
    <row r="2155" spans="1:7" ht="14.1" customHeight="1">
      <c r="A2155" s="480">
        <v>11</v>
      </c>
      <c r="B2155" s="13"/>
      <c r="C2155" s="11"/>
      <c r="D2155" s="11"/>
      <c r="E2155" s="18"/>
      <c r="F2155" s="375">
        <f t="shared" si="107"/>
        <v>0</v>
      </c>
      <c r="G2155" s="1"/>
    </row>
    <row r="2156" spans="1:7" ht="14.1" customHeight="1" thickBot="1">
      <c r="A2156" s="480">
        <v>12</v>
      </c>
      <c r="B2156" s="13"/>
      <c r="C2156" s="11"/>
      <c r="D2156" s="11"/>
      <c r="E2156" s="18"/>
      <c r="F2156" s="375">
        <f t="shared" si="107"/>
        <v>0</v>
      </c>
      <c r="G2156" s="1"/>
    </row>
    <row r="2157" spans="1:7" ht="14.1" customHeight="1" thickBot="1">
      <c r="A2157" s="481"/>
      <c r="B2157" s="5"/>
      <c r="C2157" s="367"/>
      <c r="D2157" s="367"/>
      <c r="E2157" s="367" t="s">
        <v>151</v>
      </c>
      <c r="F2157" s="376">
        <f>SUM(F2145:F2156)</f>
        <v>357.22</v>
      </c>
      <c r="G2157" s="1"/>
    </row>
    <row r="2158" spans="1:7" ht="14.1" customHeight="1">
      <c r="A2158" s="482"/>
      <c r="B2158" s="398"/>
      <c r="C2158" s="401"/>
      <c r="D2158" s="401"/>
      <c r="E2158" s="401"/>
      <c r="F2158" s="401"/>
      <c r="G2158" s="1"/>
    </row>
    <row r="2159" spans="1:7" ht="14.1" customHeight="1">
      <c r="A2159" s="625" t="s">
        <v>152</v>
      </c>
      <c r="B2159" s="625"/>
      <c r="C2159" s="625"/>
      <c r="D2159" s="625"/>
      <c r="E2159" s="625"/>
      <c r="F2159" s="625"/>
      <c r="G2159" s="1"/>
    </row>
    <row r="2160" spans="1:7" ht="14.1" customHeight="1">
      <c r="A2160" s="482"/>
      <c r="B2160" s="398"/>
      <c r="C2160" s="401"/>
      <c r="D2160" s="401"/>
      <c r="E2160" s="401"/>
      <c r="F2160" s="367"/>
      <c r="G2160" s="1"/>
    </row>
    <row r="2161" spans="1:7" ht="14.1" customHeight="1">
      <c r="A2161" s="480">
        <v>13</v>
      </c>
      <c r="B2161" s="17" t="s">
        <v>153</v>
      </c>
      <c r="C2161" s="11" t="s">
        <v>154</v>
      </c>
      <c r="D2161" s="14">
        <f>D2148</f>
        <v>0.2</v>
      </c>
      <c r="E2161" s="18">
        <f>'Mano de obra'!$J$20</f>
        <v>82.610000000000014</v>
      </c>
      <c r="F2161" s="375">
        <f>ROUND(D2161*E2161, 2)</f>
        <v>16.52</v>
      </c>
      <c r="G2161" s="1"/>
    </row>
    <row r="2162" spans="1:7" ht="14.1" customHeight="1">
      <c r="A2162" s="480">
        <v>14</v>
      </c>
      <c r="B2162" s="17" t="s">
        <v>155</v>
      </c>
      <c r="C2162" s="11" t="s">
        <v>154</v>
      </c>
      <c r="D2162" s="14">
        <f>8/30</f>
        <v>0.26666666666666666</v>
      </c>
      <c r="E2162" s="18">
        <f>'Mano de obra'!$J$21</f>
        <v>70.38</v>
      </c>
      <c r="F2162" s="375">
        <f t="shared" ref="F2162:F2165" si="108">ROUND(D2162*E2162, 2)</f>
        <v>18.77</v>
      </c>
      <c r="G2162" s="1"/>
    </row>
    <row r="2163" spans="1:7" ht="14.1" customHeight="1">
      <c r="A2163" s="480">
        <v>15</v>
      </c>
      <c r="B2163" s="17" t="s">
        <v>156</v>
      </c>
      <c r="C2163" s="11" t="s">
        <v>154</v>
      </c>
      <c r="D2163" s="14">
        <f>8/30</f>
        <v>0.26666666666666666</v>
      </c>
      <c r="E2163" s="18">
        <f>'Mano de obra'!$J$22</f>
        <v>64.78</v>
      </c>
      <c r="F2163" s="375">
        <f t="shared" si="108"/>
        <v>17.27</v>
      </c>
      <c r="G2163" s="1"/>
    </row>
    <row r="2164" spans="1:7" ht="14.1" customHeight="1">
      <c r="A2164" s="480">
        <v>16</v>
      </c>
      <c r="B2164" s="17" t="s">
        <v>157</v>
      </c>
      <c r="C2164" s="11" t="s">
        <v>154</v>
      </c>
      <c r="D2164" s="14">
        <f>32/30</f>
        <v>1.0666666666666667</v>
      </c>
      <c r="E2164" s="18">
        <f>'Mano de obra'!$J$23</f>
        <v>59.800000000000004</v>
      </c>
      <c r="F2164" s="375">
        <f t="shared" si="108"/>
        <v>63.79</v>
      </c>
      <c r="G2164" s="1"/>
    </row>
    <row r="2165" spans="1:7" ht="14.1" customHeight="1" thickBot="1">
      <c r="A2165" s="480">
        <v>17</v>
      </c>
      <c r="B2165" s="13"/>
      <c r="C2165" s="11"/>
      <c r="D2165" s="11"/>
      <c r="E2165" s="18"/>
      <c r="F2165" s="375">
        <f t="shared" si="108"/>
        <v>0</v>
      </c>
      <c r="G2165" s="1"/>
    </row>
    <row r="2166" spans="1:7" ht="14.1" customHeight="1" thickBot="1">
      <c r="A2166" s="483"/>
      <c r="B2166" s="398"/>
      <c r="C2166" s="401"/>
      <c r="D2166" s="401"/>
      <c r="E2166" s="367" t="s">
        <v>158</v>
      </c>
      <c r="F2166" s="376">
        <f>SUM(F2161:F2165)</f>
        <v>116.35</v>
      </c>
      <c r="G2166" s="1"/>
    </row>
    <row r="2167" spans="1:7" ht="14.1" customHeight="1" thickBot="1">
      <c r="A2167" s="484"/>
      <c r="B2167" s="398"/>
      <c r="C2167" s="401"/>
      <c r="D2167" s="401"/>
      <c r="E2167" s="401"/>
      <c r="F2167" s="367"/>
      <c r="G2167" s="1"/>
    </row>
    <row r="2168" spans="1:7" ht="14.1" customHeight="1" thickBot="1">
      <c r="A2168" s="480"/>
      <c r="B2168" s="142" t="s">
        <v>273</v>
      </c>
      <c r="C2168" s="369"/>
      <c r="D2168" s="369"/>
      <c r="E2168" s="377" t="s">
        <v>159</v>
      </c>
      <c r="F2168" s="376">
        <f>SUM(F2157+F2166)</f>
        <v>473.57000000000005</v>
      </c>
      <c r="G2168" s="1"/>
    </row>
    <row r="2169" spans="1:7" ht="15" customHeight="1">
      <c r="A2169" s="626"/>
      <c r="B2169" s="627" t="s">
        <v>274</v>
      </c>
      <c r="C2169" s="628"/>
      <c r="D2169" s="628"/>
      <c r="E2169" s="629" t="s">
        <v>275</v>
      </c>
      <c r="F2169" s="631">
        <f>ROUND(F2168*'Coef. resumen'!$F$23, 2)</f>
        <v>701.83</v>
      </c>
    </row>
    <row r="2170" spans="1:7" ht="15" customHeight="1" thickBot="1">
      <c r="A2170" s="626"/>
      <c r="B2170" s="627"/>
      <c r="C2170" s="628"/>
      <c r="D2170" s="628"/>
      <c r="E2170" s="630"/>
      <c r="F2170" s="632"/>
    </row>
    <row r="2171" spans="1:7" ht="15">
      <c r="A2171" s="471"/>
      <c r="B2171" s="2"/>
      <c r="C2171" s="402"/>
      <c r="D2171" s="402"/>
      <c r="E2171" s="402"/>
      <c r="F2171" s="402"/>
    </row>
    <row r="2172" spans="1:7" ht="15">
      <c r="A2172" s="471"/>
      <c r="B2172" s="2"/>
      <c r="C2172" s="402"/>
      <c r="D2172" s="402"/>
      <c r="E2172" s="402"/>
      <c r="F2172" s="402"/>
    </row>
    <row r="2173" spans="1:7" ht="15">
      <c r="A2173" s="471"/>
      <c r="B2173" s="194" t="str">
        <f>'Coef. resumen'!$B$30</f>
        <v>Julián Antonelli</v>
      </c>
      <c r="C2173" s="524"/>
      <c r="D2173" s="524"/>
      <c r="E2173" s="194" t="str">
        <f>'Coef. resumen'!$E$30</f>
        <v>Marcelo A. Pasquini</v>
      </c>
      <c r="F2173" s="402"/>
    </row>
    <row r="2174" spans="1:7" ht="15">
      <c r="A2174" s="471"/>
      <c r="B2174" s="194" t="str">
        <f>'Coef. resumen'!$B$31</f>
        <v>Ing. Civil M.P. 2161</v>
      </c>
      <c r="C2174" s="524"/>
      <c r="D2174" s="524"/>
      <c r="E2174" s="194" t="str">
        <f>'Coef. resumen'!$E$31</f>
        <v>Socio Gerente</v>
      </c>
      <c r="F2174" s="402"/>
    </row>
    <row r="2175" spans="1:7" ht="15">
      <c r="A2175" s="471"/>
      <c r="B2175" s="194" t="str">
        <f>'Coef. resumen'!$B$32</f>
        <v>Representante Técnico</v>
      </c>
      <c r="C2175" s="524"/>
      <c r="D2175" s="19"/>
      <c r="E2175" s="194" t="str">
        <f>'Coef. resumen'!$E$32</f>
        <v>Pasquini Construcciones SRL</v>
      </c>
      <c r="F2175" s="402"/>
    </row>
    <row r="2176" spans="1:7" ht="15">
      <c r="A2176" s="471"/>
      <c r="B2176" s="194"/>
      <c r="C2176" s="402"/>
      <c r="D2176" s="19"/>
      <c r="E2176" s="194"/>
      <c r="F2176" s="402"/>
    </row>
    <row r="2177" spans="1:7" ht="14.1" customHeight="1">
      <c r="A2177" s="477" t="s">
        <v>142</v>
      </c>
      <c r="B2177" s="613" t="str">
        <f>Presupuesto!B86</f>
        <v>Provisión y colocación Cañería ø315mm (tubos Khra electrofusión integrada)</v>
      </c>
      <c r="C2177" s="614"/>
      <c r="D2177" s="615"/>
      <c r="E2177" s="367" t="s">
        <v>143</v>
      </c>
      <c r="F2177" s="30" t="str">
        <f>Presupuesto!C86</f>
        <v>ml</v>
      </c>
      <c r="G2177" s="1"/>
    </row>
    <row r="2178" spans="1:7" ht="14.1" customHeight="1">
      <c r="A2178" s="622" t="str">
        <f>Presupuesto!A86</f>
        <v>2.3.3</v>
      </c>
      <c r="B2178" s="616"/>
      <c r="C2178" s="617"/>
      <c r="D2178" s="618"/>
      <c r="E2178" s="367"/>
      <c r="F2178" s="367"/>
      <c r="G2178" s="1"/>
    </row>
    <row r="2179" spans="1:7" ht="14.1" customHeight="1">
      <c r="A2179" s="622"/>
      <c r="B2179" s="616"/>
      <c r="C2179" s="617"/>
      <c r="D2179" s="618"/>
      <c r="E2179" s="367"/>
      <c r="F2179" s="367"/>
      <c r="G2179" s="1"/>
    </row>
    <row r="2180" spans="1:7" ht="14.1" customHeight="1">
      <c r="A2180" s="623"/>
      <c r="B2180" s="619"/>
      <c r="C2180" s="620"/>
      <c r="D2180" s="621"/>
      <c r="E2180" s="367"/>
      <c r="F2180" s="367"/>
      <c r="G2180" s="1"/>
    </row>
    <row r="2181" spans="1:7" ht="14.1" customHeight="1">
      <c r="A2181" s="478"/>
      <c r="B2181" s="29"/>
      <c r="C2181" s="368"/>
      <c r="D2181" s="368"/>
      <c r="E2181" s="365"/>
      <c r="F2181" s="365"/>
      <c r="G2181" s="1"/>
    </row>
    <row r="2182" spans="1:7" ht="14.1" customHeight="1">
      <c r="A2182" s="624" t="s">
        <v>144</v>
      </c>
      <c r="B2182" s="624"/>
      <c r="C2182" s="624"/>
      <c r="D2182" s="624"/>
      <c r="E2182" s="624"/>
      <c r="F2182" s="624"/>
      <c r="G2182" s="1"/>
    </row>
    <row r="2183" spans="1:7" ht="14.1" customHeight="1">
      <c r="A2183" s="479"/>
      <c r="B2183" s="10"/>
      <c r="C2183" s="400"/>
      <c r="D2183" s="400"/>
      <c r="E2183" s="400"/>
      <c r="F2183" s="400"/>
      <c r="G2183" s="1"/>
    </row>
    <row r="2184" spans="1:7" ht="15.95" customHeight="1">
      <c r="A2184" s="480" t="s">
        <v>145</v>
      </c>
      <c r="B2184" s="11" t="s">
        <v>146</v>
      </c>
      <c r="C2184" s="11" t="s">
        <v>147</v>
      </c>
      <c r="D2184" s="11" t="s">
        <v>148</v>
      </c>
      <c r="E2184" s="12" t="s">
        <v>149</v>
      </c>
      <c r="F2184" s="11" t="s">
        <v>150</v>
      </c>
      <c r="G2184" s="1"/>
    </row>
    <row r="2185" spans="1:7" ht="14.1" customHeight="1">
      <c r="A2185" s="480">
        <v>1</v>
      </c>
      <c r="B2185" s="220" t="s">
        <v>1180</v>
      </c>
      <c r="C2185" s="221" t="s">
        <v>12</v>
      </c>
      <c r="D2185" s="221">
        <v>1.05</v>
      </c>
      <c r="E2185" s="18">
        <f>('MAT 31-10-2013'!R207/6)*0.6</f>
        <v>170.00975665748396</v>
      </c>
      <c r="F2185" s="375">
        <f>ROUND(D2185*E2185, 2)</f>
        <v>178.51</v>
      </c>
      <c r="G2185" s="1"/>
    </row>
    <row r="2186" spans="1:7" ht="14.1" customHeight="1">
      <c r="A2186" s="480">
        <v>2</v>
      </c>
      <c r="B2186" s="220" t="s">
        <v>1181</v>
      </c>
      <c r="C2186" s="221" t="s">
        <v>11</v>
      </c>
      <c r="D2186" s="221">
        <v>1</v>
      </c>
      <c r="E2186" s="18">
        <f>0.2*F2185</f>
        <v>35.701999999999998</v>
      </c>
      <c r="F2186" s="375">
        <f t="shared" ref="F2186:F2196" si="109">ROUND(D2186*E2186, 2)</f>
        <v>35.700000000000003</v>
      </c>
      <c r="G2186" s="1"/>
    </row>
    <row r="2187" spans="1:7" ht="14.1" customHeight="1">
      <c r="A2187" s="480">
        <v>3</v>
      </c>
      <c r="B2187" s="220" t="s">
        <v>991</v>
      </c>
      <c r="C2187" s="370" t="s">
        <v>11</v>
      </c>
      <c r="D2187" s="221">
        <v>1</v>
      </c>
      <c r="E2187" s="18">
        <v>2.5</v>
      </c>
      <c r="F2187" s="375">
        <f t="shared" si="109"/>
        <v>2.5</v>
      </c>
      <c r="G2187" s="1"/>
    </row>
    <row r="2188" spans="1:7" ht="14.1" customHeight="1">
      <c r="A2188" s="480">
        <v>4</v>
      </c>
      <c r="B2188" s="220" t="s">
        <v>1010</v>
      </c>
      <c r="C2188" s="370" t="s">
        <v>325</v>
      </c>
      <c r="D2188" s="221">
        <v>0.2</v>
      </c>
      <c r="E2188" s="18">
        <f>Equipos!S$20</f>
        <v>132.98876033057851</v>
      </c>
      <c r="F2188" s="375">
        <f t="shared" si="109"/>
        <v>26.6</v>
      </c>
      <c r="G2188" s="1"/>
    </row>
    <row r="2189" spans="1:7" ht="14.1" customHeight="1">
      <c r="A2189" s="480">
        <v>5</v>
      </c>
      <c r="B2189" s="301" t="s">
        <v>265</v>
      </c>
      <c r="C2189" s="370" t="s">
        <v>325</v>
      </c>
      <c r="D2189" s="221">
        <v>0.1</v>
      </c>
      <c r="E2189" s="18">
        <f>Equipos!S$36</f>
        <v>3.5183305785123968</v>
      </c>
      <c r="F2189" s="375">
        <f t="shared" si="109"/>
        <v>0.35</v>
      </c>
      <c r="G2189" s="1"/>
    </row>
    <row r="2190" spans="1:7" ht="14.1" customHeight="1">
      <c r="A2190" s="480">
        <v>6</v>
      </c>
      <c r="B2190" s="220"/>
      <c r="C2190" s="399"/>
      <c r="D2190" s="224"/>
      <c r="E2190" s="18"/>
      <c r="F2190" s="375">
        <f t="shared" si="109"/>
        <v>0</v>
      </c>
      <c r="G2190" s="1"/>
    </row>
    <row r="2191" spans="1:7" ht="14.1" customHeight="1">
      <c r="A2191" s="480">
        <v>7</v>
      </c>
      <c r="B2191" s="220"/>
      <c r="C2191" s="399"/>
      <c r="D2191" s="224"/>
      <c r="E2191" s="18"/>
      <c r="F2191" s="375">
        <f t="shared" si="109"/>
        <v>0</v>
      </c>
      <c r="G2191" s="1"/>
    </row>
    <row r="2192" spans="1:7" ht="14.1" customHeight="1">
      <c r="A2192" s="480">
        <v>8</v>
      </c>
      <c r="B2192" s="220"/>
      <c r="C2192" s="399"/>
      <c r="D2192" s="224"/>
      <c r="E2192" s="18"/>
      <c r="F2192" s="375">
        <f t="shared" si="109"/>
        <v>0</v>
      </c>
      <c r="G2192" s="1"/>
    </row>
    <row r="2193" spans="1:7" ht="14.1" customHeight="1">
      <c r="A2193" s="480">
        <v>9</v>
      </c>
      <c r="B2193" s="220"/>
      <c r="C2193" s="399"/>
      <c r="D2193" s="224"/>
      <c r="E2193" s="18"/>
      <c r="F2193" s="375">
        <f t="shared" si="109"/>
        <v>0</v>
      </c>
      <c r="G2193" s="1"/>
    </row>
    <row r="2194" spans="1:7" ht="14.1" customHeight="1">
      <c r="A2194" s="480">
        <v>10</v>
      </c>
      <c r="B2194" s="13"/>
      <c r="C2194" s="11"/>
      <c r="D2194" s="14"/>
      <c r="E2194" s="18"/>
      <c r="F2194" s="375">
        <f t="shared" si="109"/>
        <v>0</v>
      </c>
      <c r="G2194" s="1"/>
    </row>
    <row r="2195" spans="1:7" ht="14.1" customHeight="1">
      <c r="A2195" s="480">
        <v>11</v>
      </c>
      <c r="B2195" s="13"/>
      <c r="C2195" s="11"/>
      <c r="D2195" s="11"/>
      <c r="E2195" s="18"/>
      <c r="F2195" s="375">
        <f t="shared" si="109"/>
        <v>0</v>
      </c>
      <c r="G2195" s="1"/>
    </row>
    <row r="2196" spans="1:7" ht="14.1" customHeight="1" thickBot="1">
      <c r="A2196" s="480">
        <v>12</v>
      </c>
      <c r="B2196" s="13"/>
      <c r="C2196" s="11"/>
      <c r="D2196" s="11"/>
      <c r="E2196" s="18"/>
      <c r="F2196" s="375">
        <f t="shared" si="109"/>
        <v>0</v>
      </c>
      <c r="G2196" s="1"/>
    </row>
    <row r="2197" spans="1:7" ht="14.1" customHeight="1" thickBot="1">
      <c r="A2197" s="481"/>
      <c r="B2197" s="5"/>
      <c r="C2197" s="367"/>
      <c r="D2197" s="367"/>
      <c r="E2197" s="367" t="s">
        <v>151</v>
      </c>
      <c r="F2197" s="376">
        <f>SUM(F2185:F2196)</f>
        <v>243.65999999999997</v>
      </c>
      <c r="G2197" s="1"/>
    </row>
    <row r="2198" spans="1:7" ht="14.1" customHeight="1">
      <c r="A2198" s="482"/>
      <c r="B2198" s="398"/>
      <c r="C2198" s="401"/>
      <c r="D2198" s="401"/>
      <c r="E2198" s="401"/>
      <c r="F2198" s="401"/>
      <c r="G2198" s="1"/>
    </row>
    <row r="2199" spans="1:7" ht="14.1" customHeight="1">
      <c r="A2199" s="625" t="s">
        <v>152</v>
      </c>
      <c r="B2199" s="625"/>
      <c r="C2199" s="625"/>
      <c r="D2199" s="625"/>
      <c r="E2199" s="625"/>
      <c r="F2199" s="625"/>
      <c r="G2199" s="1"/>
    </row>
    <row r="2200" spans="1:7" ht="14.1" customHeight="1">
      <c r="A2200" s="482"/>
      <c r="B2200" s="398"/>
      <c r="C2200" s="401"/>
      <c r="D2200" s="401"/>
      <c r="E2200" s="401"/>
      <c r="F2200" s="367"/>
      <c r="G2200" s="1"/>
    </row>
    <row r="2201" spans="1:7" ht="14.1" customHeight="1">
      <c r="A2201" s="480">
        <v>13</v>
      </c>
      <c r="B2201" s="17" t="s">
        <v>153</v>
      </c>
      <c r="C2201" s="11" t="s">
        <v>154</v>
      </c>
      <c r="D2201" s="14">
        <f>D2188</f>
        <v>0.2</v>
      </c>
      <c r="E2201" s="18">
        <f>'Mano de obra'!$J$20</f>
        <v>82.610000000000014</v>
      </c>
      <c r="F2201" s="375">
        <f>ROUND(D2201*E2201, 2)</f>
        <v>16.52</v>
      </c>
      <c r="G2201" s="1"/>
    </row>
    <row r="2202" spans="1:7" ht="14.1" customHeight="1">
      <c r="A2202" s="480">
        <v>14</v>
      </c>
      <c r="B2202" s="17" t="s">
        <v>155</v>
      </c>
      <c r="C2202" s="11" t="s">
        <v>154</v>
      </c>
      <c r="D2202" s="14">
        <f>8/30</f>
        <v>0.26666666666666666</v>
      </c>
      <c r="E2202" s="18">
        <f>'Mano de obra'!$J$21</f>
        <v>70.38</v>
      </c>
      <c r="F2202" s="375">
        <f t="shared" ref="F2202:F2205" si="110">ROUND(D2202*E2202, 2)</f>
        <v>18.77</v>
      </c>
      <c r="G2202" s="1"/>
    </row>
    <row r="2203" spans="1:7" ht="14.1" customHeight="1">
      <c r="A2203" s="480">
        <v>15</v>
      </c>
      <c r="B2203" s="17" t="s">
        <v>156</v>
      </c>
      <c r="C2203" s="11" t="s">
        <v>154</v>
      </c>
      <c r="D2203" s="14">
        <f>8/30</f>
        <v>0.26666666666666666</v>
      </c>
      <c r="E2203" s="18">
        <f>'Mano de obra'!$J$22</f>
        <v>64.78</v>
      </c>
      <c r="F2203" s="375">
        <f t="shared" si="110"/>
        <v>17.27</v>
      </c>
      <c r="G2203" s="1"/>
    </row>
    <row r="2204" spans="1:7" ht="14.1" customHeight="1">
      <c r="A2204" s="480">
        <v>16</v>
      </c>
      <c r="B2204" s="17" t="s">
        <v>157</v>
      </c>
      <c r="C2204" s="11" t="s">
        <v>154</v>
      </c>
      <c r="D2204" s="14">
        <f>32/30</f>
        <v>1.0666666666666667</v>
      </c>
      <c r="E2204" s="18">
        <f>'Mano de obra'!$J$23</f>
        <v>59.800000000000004</v>
      </c>
      <c r="F2204" s="375">
        <f t="shared" si="110"/>
        <v>63.79</v>
      </c>
      <c r="G2204" s="1"/>
    </row>
    <row r="2205" spans="1:7" ht="14.1" customHeight="1" thickBot="1">
      <c r="A2205" s="480">
        <v>17</v>
      </c>
      <c r="B2205" s="13"/>
      <c r="C2205" s="11"/>
      <c r="D2205" s="11"/>
      <c r="E2205" s="18"/>
      <c r="F2205" s="375">
        <f t="shared" si="110"/>
        <v>0</v>
      </c>
      <c r="G2205" s="1"/>
    </row>
    <row r="2206" spans="1:7" ht="14.1" customHeight="1" thickBot="1">
      <c r="A2206" s="483"/>
      <c r="B2206" s="398"/>
      <c r="C2206" s="401"/>
      <c r="D2206" s="401"/>
      <c r="E2206" s="367" t="s">
        <v>158</v>
      </c>
      <c r="F2206" s="376">
        <f>SUM(F2201:F2205)</f>
        <v>116.35</v>
      </c>
      <c r="G2206" s="1"/>
    </row>
    <row r="2207" spans="1:7" ht="14.1" customHeight="1" thickBot="1">
      <c r="A2207" s="484"/>
      <c r="B2207" s="398"/>
      <c r="C2207" s="401"/>
      <c r="D2207" s="401"/>
      <c r="E2207" s="401"/>
      <c r="F2207" s="367"/>
      <c r="G2207" s="1"/>
    </row>
    <row r="2208" spans="1:7" ht="14.1" customHeight="1" thickBot="1">
      <c r="A2208" s="480"/>
      <c r="B2208" s="142" t="s">
        <v>273</v>
      </c>
      <c r="C2208" s="369"/>
      <c r="D2208" s="369"/>
      <c r="E2208" s="377" t="s">
        <v>159</v>
      </c>
      <c r="F2208" s="376">
        <f>SUM(F2197+F2206)</f>
        <v>360.01</v>
      </c>
      <c r="G2208" s="1"/>
    </row>
    <row r="2209" spans="1:7" ht="15" customHeight="1">
      <c r="A2209" s="626"/>
      <c r="B2209" s="627" t="s">
        <v>274</v>
      </c>
      <c r="C2209" s="628"/>
      <c r="D2209" s="628"/>
      <c r="E2209" s="629" t="s">
        <v>275</v>
      </c>
      <c r="F2209" s="631">
        <f>ROUND(F2208*'Coef. resumen'!$F$23, 2)</f>
        <v>533.53</v>
      </c>
    </row>
    <row r="2210" spans="1:7" ht="15" customHeight="1" thickBot="1">
      <c r="A2210" s="626"/>
      <c r="B2210" s="627"/>
      <c r="C2210" s="628"/>
      <c r="D2210" s="628"/>
      <c r="E2210" s="630"/>
      <c r="F2210" s="632"/>
    </row>
    <row r="2211" spans="1:7" ht="15">
      <c r="A2211" s="471"/>
      <c r="B2211" s="2"/>
      <c r="C2211" s="402"/>
      <c r="D2211" s="402"/>
      <c r="E2211" s="402"/>
      <c r="F2211" s="402"/>
    </row>
    <row r="2212" spans="1:7" ht="15">
      <c r="A2212" s="471"/>
      <c r="B2212" s="2"/>
      <c r="C2212" s="402"/>
      <c r="D2212" s="402"/>
      <c r="E2212" s="402"/>
      <c r="F2212" s="402"/>
    </row>
    <row r="2213" spans="1:7" ht="15">
      <c r="A2213" s="471"/>
      <c r="B2213" s="194" t="str">
        <f>'Coef. resumen'!$B$30</f>
        <v>Julián Antonelli</v>
      </c>
      <c r="C2213" s="524"/>
      <c r="D2213" s="524"/>
      <c r="E2213" s="194" t="str">
        <f>'Coef. resumen'!$E$30</f>
        <v>Marcelo A. Pasquini</v>
      </c>
      <c r="F2213" s="402"/>
    </row>
    <row r="2214" spans="1:7" ht="15">
      <c r="A2214" s="471"/>
      <c r="B2214" s="194" t="str">
        <f>'Coef. resumen'!$B$31</f>
        <v>Ing. Civil M.P. 2161</v>
      </c>
      <c r="C2214" s="524"/>
      <c r="D2214" s="524"/>
      <c r="E2214" s="194" t="str">
        <f>'Coef. resumen'!$E$31</f>
        <v>Socio Gerente</v>
      </c>
      <c r="F2214" s="402"/>
    </row>
    <row r="2215" spans="1:7" ht="15">
      <c r="A2215" s="471"/>
      <c r="B2215" s="194" t="str">
        <f>'Coef. resumen'!$B$32</f>
        <v>Representante Técnico</v>
      </c>
      <c r="C2215" s="524"/>
      <c r="D2215" s="19"/>
      <c r="E2215" s="194" t="str">
        <f>'Coef. resumen'!$E$32</f>
        <v>Pasquini Construcciones SRL</v>
      </c>
      <c r="F2215" s="402"/>
    </row>
    <row r="2216" spans="1:7" ht="15">
      <c r="A2216" s="471"/>
      <c r="B2216" s="194"/>
      <c r="C2216" s="402"/>
      <c r="D2216" s="19"/>
      <c r="E2216" s="194"/>
      <c r="F2216" s="402"/>
    </row>
    <row r="2217" spans="1:7" ht="14.1" customHeight="1">
      <c r="A2217" s="477" t="s">
        <v>142</v>
      </c>
      <c r="B2217" s="613" t="str">
        <f>Presupuesto!B88</f>
        <v>Provisión y colocación Bocas de registro   (tubos Khra electrofusión integrada)</v>
      </c>
      <c r="C2217" s="614"/>
      <c r="D2217" s="615"/>
      <c r="E2217" s="367" t="s">
        <v>143</v>
      </c>
      <c r="F2217" s="30" t="str">
        <f>Presupuesto!C88</f>
        <v>un</v>
      </c>
      <c r="G2217" s="1"/>
    </row>
    <row r="2218" spans="1:7" ht="14.1" customHeight="1">
      <c r="A2218" s="622" t="str">
        <f>Presupuesto!A88</f>
        <v>2.4.1</v>
      </c>
      <c r="B2218" s="616"/>
      <c r="C2218" s="617"/>
      <c r="D2218" s="618"/>
      <c r="E2218" s="367"/>
      <c r="F2218" s="367"/>
      <c r="G2218" s="1"/>
    </row>
    <row r="2219" spans="1:7" ht="14.1" customHeight="1">
      <c r="A2219" s="622"/>
      <c r="B2219" s="616"/>
      <c r="C2219" s="617"/>
      <c r="D2219" s="618"/>
      <c r="E2219" s="367"/>
      <c r="F2219" s="367"/>
      <c r="G2219" s="1"/>
    </row>
    <row r="2220" spans="1:7" ht="14.1" customHeight="1">
      <c r="A2220" s="623"/>
      <c r="B2220" s="619"/>
      <c r="C2220" s="620"/>
      <c r="D2220" s="621"/>
      <c r="E2220" s="367"/>
      <c r="F2220" s="367"/>
      <c r="G2220" s="1"/>
    </row>
    <row r="2221" spans="1:7" ht="14.1" customHeight="1">
      <c r="A2221" s="478"/>
      <c r="B2221" s="29"/>
      <c r="C2221" s="368"/>
      <c r="D2221" s="368"/>
      <c r="E2221" s="365"/>
      <c r="F2221" s="365"/>
      <c r="G2221" s="1"/>
    </row>
    <row r="2222" spans="1:7" ht="14.1" customHeight="1">
      <c r="A2222" s="624" t="s">
        <v>144</v>
      </c>
      <c r="B2222" s="624"/>
      <c r="C2222" s="624"/>
      <c r="D2222" s="624"/>
      <c r="E2222" s="624"/>
      <c r="F2222" s="624"/>
      <c r="G2222" s="1"/>
    </row>
    <row r="2223" spans="1:7" ht="14.1" customHeight="1">
      <c r="A2223" s="479"/>
      <c r="B2223" s="10"/>
      <c r="C2223" s="400"/>
      <c r="D2223" s="400"/>
      <c r="E2223" s="400"/>
      <c r="F2223" s="400"/>
      <c r="G2223" s="1"/>
    </row>
    <row r="2224" spans="1:7" ht="15.95" customHeight="1">
      <c r="A2224" s="480" t="s">
        <v>145</v>
      </c>
      <c r="B2224" s="11" t="s">
        <v>146</v>
      </c>
      <c r="C2224" s="11" t="s">
        <v>147</v>
      </c>
      <c r="D2224" s="11" t="s">
        <v>148</v>
      </c>
      <c r="E2224" s="12" t="s">
        <v>149</v>
      </c>
      <c r="F2224" s="11" t="s">
        <v>150</v>
      </c>
      <c r="G2224" s="1"/>
    </row>
    <row r="2225" spans="1:7" ht="14.1" customHeight="1">
      <c r="A2225" s="480">
        <v>1</v>
      </c>
      <c r="B2225" s="220" t="s">
        <v>1174</v>
      </c>
      <c r="C2225" s="221" t="s">
        <v>433</v>
      </c>
      <c r="D2225" s="221">
        <v>1</v>
      </c>
      <c r="E2225" s="18">
        <f>4538</f>
        <v>4538</v>
      </c>
      <c r="F2225" s="375">
        <f>ROUND(D2225*E2225, 2)</f>
        <v>4538</v>
      </c>
      <c r="G2225" s="1"/>
    </row>
    <row r="2226" spans="1:7" ht="14.1" customHeight="1">
      <c r="A2226" s="480">
        <v>2</v>
      </c>
      <c r="B2226" s="220" t="s">
        <v>1182</v>
      </c>
      <c r="C2226" s="221" t="s">
        <v>1026</v>
      </c>
      <c r="D2226" s="221">
        <v>1</v>
      </c>
      <c r="E2226" s="18">
        <f>0.1*F2225</f>
        <v>453.8</v>
      </c>
      <c r="F2226" s="375">
        <f t="shared" ref="F2226:F2236" si="111">ROUND(D2226*E2226, 2)</f>
        <v>453.8</v>
      </c>
      <c r="G2226" s="1"/>
    </row>
    <row r="2227" spans="1:7" ht="14.1" customHeight="1">
      <c r="A2227" s="480">
        <v>3</v>
      </c>
      <c r="B2227" s="220" t="s">
        <v>1010</v>
      </c>
      <c r="C2227" s="370" t="s">
        <v>325</v>
      </c>
      <c r="D2227" s="221">
        <v>1</v>
      </c>
      <c r="E2227" s="18">
        <f>Equipos!S$20</f>
        <v>132.98876033057851</v>
      </c>
      <c r="F2227" s="375">
        <f t="shared" si="111"/>
        <v>132.99</v>
      </c>
      <c r="G2227" s="1"/>
    </row>
    <row r="2228" spans="1:7" ht="14.1" customHeight="1">
      <c r="A2228" s="480">
        <v>4</v>
      </c>
      <c r="B2228" s="220" t="s">
        <v>1176</v>
      </c>
      <c r="C2228" s="370" t="s">
        <v>325</v>
      </c>
      <c r="D2228" s="221">
        <v>1</v>
      </c>
      <c r="E2228" s="18">
        <f>Equipos!S$32</f>
        <v>8.1039256198347118</v>
      </c>
      <c r="F2228" s="375">
        <f t="shared" si="111"/>
        <v>8.1</v>
      </c>
      <c r="G2228" s="1"/>
    </row>
    <row r="2229" spans="1:7" ht="14.1" customHeight="1">
      <c r="A2229" s="480">
        <v>5</v>
      </c>
      <c r="B2229" s="301" t="s">
        <v>1177</v>
      </c>
      <c r="C2229" s="370" t="s">
        <v>325</v>
      </c>
      <c r="D2229" s="221">
        <v>2</v>
      </c>
      <c r="E2229" s="18">
        <f>Equipos!S$36</f>
        <v>3.5183305785123968</v>
      </c>
      <c r="F2229" s="375">
        <f t="shared" si="111"/>
        <v>7.04</v>
      </c>
      <c r="G2229" s="1"/>
    </row>
    <row r="2230" spans="1:7" ht="14.1" customHeight="1">
      <c r="A2230" s="480">
        <v>6</v>
      </c>
      <c r="B2230" s="220"/>
      <c r="C2230" s="399"/>
      <c r="D2230" s="224"/>
      <c r="E2230" s="18"/>
      <c r="F2230" s="375">
        <f t="shared" si="111"/>
        <v>0</v>
      </c>
      <c r="G2230" s="1"/>
    </row>
    <row r="2231" spans="1:7" ht="14.1" customHeight="1">
      <c r="A2231" s="480">
        <v>7</v>
      </c>
      <c r="B2231" s="220"/>
      <c r="C2231" s="399"/>
      <c r="D2231" s="224"/>
      <c r="E2231" s="18"/>
      <c r="F2231" s="375">
        <f t="shared" si="111"/>
        <v>0</v>
      </c>
      <c r="G2231" s="1"/>
    </row>
    <row r="2232" spans="1:7" ht="14.1" customHeight="1">
      <c r="A2232" s="480">
        <v>8</v>
      </c>
      <c r="B2232" s="220"/>
      <c r="C2232" s="399"/>
      <c r="D2232" s="224"/>
      <c r="E2232" s="18"/>
      <c r="F2232" s="375">
        <f t="shared" si="111"/>
        <v>0</v>
      </c>
      <c r="G2232" s="1"/>
    </row>
    <row r="2233" spans="1:7" ht="14.1" customHeight="1">
      <c r="A2233" s="480">
        <v>9</v>
      </c>
      <c r="B2233" s="220"/>
      <c r="C2233" s="399"/>
      <c r="D2233" s="224"/>
      <c r="E2233" s="18"/>
      <c r="F2233" s="375">
        <f t="shared" si="111"/>
        <v>0</v>
      </c>
      <c r="G2233" s="1"/>
    </row>
    <row r="2234" spans="1:7" ht="14.1" customHeight="1">
      <c r="A2234" s="480">
        <v>10</v>
      </c>
      <c r="B2234" s="13"/>
      <c r="C2234" s="11"/>
      <c r="D2234" s="14"/>
      <c r="E2234" s="18"/>
      <c r="F2234" s="375">
        <f t="shared" si="111"/>
        <v>0</v>
      </c>
      <c r="G2234" s="1"/>
    </row>
    <row r="2235" spans="1:7" ht="14.1" customHeight="1">
      <c r="A2235" s="480">
        <v>11</v>
      </c>
      <c r="B2235" s="13"/>
      <c r="C2235" s="11"/>
      <c r="D2235" s="11"/>
      <c r="E2235" s="18"/>
      <c r="F2235" s="375">
        <f t="shared" si="111"/>
        <v>0</v>
      </c>
      <c r="G2235" s="1"/>
    </row>
    <row r="2236" spans="1:7" ht="14.1" customHeight="1" thickBot="1">
      <c r="A2236" s="480">
        <v>12</v>
      </c>
      <c r="B2236" s="13"/>
      <c r="C2236" s="11"/>
      <c r="D2236" s="11"/>
      <c r="E2236" s="18"/>
      <c r="F2236" s="375">
        <f t="shared" si="111"/>
        <v>0</v>
      </c>
      <c r="G2236" s="1"/>
    </row>
    <row r="2237" spans="1:7" ht="14.1" customHeight="1" thickBot="1">
      <c r="A2237" s="481"/>
      <c r="B2237" s="5"/>
      <c r="C2237" s="367"/>
      <c r="D2237" s="367"/>
      <c r="E2237" s="367" t="s">
        <v>151</v>
      </c>
      <c r="F2237" s="376">
        <f>SUM(F2225:F2236)</f>
        <v>5139.93</v>
      </c>
      <c r="G2237" s="1"/>
    </row>
    <row r="2238" spans="1:7" ht="14.1" customHeight="1">
      <c r="A2238" s="482"/>
      <c r="B2238" s="398"/>
      <c r="C2238" s="401"/>
      <c r="D2238" s="401"/>
      <c r="E2238" s="401"/>
      <c r="F2238" s="401"/>
      <c r="G2238" s="1"/>
    </row>
    <row r="2239" spans="1:7" ht="14.1" customHeight="1">
      <c r="A2239" s="625" t="s">
        <v>152</v>
      </c>
      <c r="B2239" s="625"/>
      <c r="C2239" s="625"/>
      <c r="D2239" s="625"/>
      <c r="E2239" s="625"/>
      <c r="F2239" s="625"/>
      <c r="G2239" s="1"/>
    </row>
    <row r="2240" spans="1:7" ht="14.1" customHeight="1">
      <c r="A2240" s="482"/>
      <c r="B2240" s="398"/>
      <c r="C2240" s="401"/>
      <c r="D2240" s="401"/>
      <c r="E2240" s="401"/>
      <c r="F2240" s="367"/>
      <c r="G2240" s="1"/>
    </row>
    <row r="2241" spans="1:7" ht="14.1" customHeight="1">
      <c r="A2241" s="480">
        <v>13</v>
      </c>
      <c r="B2241" s="17" t="s">
        <v>153</v>
      </c>
      <c r="C2241" s="11" t="s">
        <v>154</v>
      </c>
      <c r="D2241" s="14">
        <f>D2227</f>
        <v>1</v>
      </c>
      <c r="E2241" s="18">
        <f>'Mano de obra'!$J$20</f>
        <v>82.610000000000014</v>
      </c>
      <c r="F2241" s="375">
        <f>ROUND(D2241*E2241, 2)</f>
        <v>82.61</v>
      </c>
      <c r="G2241" s="1"/>
    </row>
    <row r="2242" spans="1:7" ht="14.1" customHeight="1">
      <c r="A2242" s="480">
        <v>14</v>
      </c>
      <c r="B2242" s="17" t="s">
        <v>155</v>
      </c>
      <c r="C2242" s="11" t="s">
        <v>154</v>
      </c>
      <c r="D2242" s="14">
        <v>8</v>
      </c>
      <c r="E2242" s="18">
        <f>'Mano de obra'!$J$21</f>
        <v>70.38</v>
      </c>
      <c r="F2242" s="375">
        <f t="shared" ref="F2242:F2245" si="112">ROUND(D2242*E2242, 2)</f>
        <v>563.04</v>
      </c>
      <c r="G2242" s="1"/>
    </row>
    <row r="2243" spans="1:7" ht="14.1" customHeight="1">
      <c r="A2243" s="480">
        <v>15</v>
      </c>
      <c r="B2243" s="17" t="s">
        <v>156</v>
      </c>
      <c r="C2243" s="11" t="s">
        <v>154</v>
      </c>
      <c r="D2243" s="14">
        <f>8/60</f>
        <v>0.13333333333333333</v>
      </c>
      <c r="E2243" s="18">
        <f>'Mano de obra'!$J$22</f>
        <v>64.78</v>
      </c>
      <c r="F2243" s="375">
        <f t="shared" si="112"/>
        <v>8.64</v>
      </c>
      <c r="G2243" s="1"/>
    </row>
    <row r="2244" spans="1:7" ht="14.1" customHeight="1">
      <c r="A2244" s="480">
        <v>16</v>
      </c>
      <c r="B2244" s="17" t="s">
        <v>157</v>
      </c>
      <c r="C2244" s="11" t="s">
        <v>154</v>
      </c>
      <c r="D2244" s="14">
        <v>8</v>
      </c>
      <c r="E2244" s="18">
        <f>'Mano de obra'!$J$23</f>
        <v>59.800000000000004</v>
      </c>
      <c r="F2244" s="375">
        <f t="shared" si="112"/>
        <v>478.4</v>
      </c>
      <c r="G2244" s="1"/>
    </row>
    <row r="2245" spans="1:7" ht="14.1" customHeight="1" thickBot="1">
      <c r="A2245" s="480">
        <v>17</v>
      </c>
      <c r="B2245" s="13"/>
      <c r="C2245" s="11"/>
      <c r="D2245" s="11"/>
      <c r="E2245" s="18"/>
      <c r="F2245" s="375">
        <f t="shared" si="112"/>
        <v>0</v>
      </c>
      <c r="G2245" s="1"/>
    </row>
    <row r="2246" spans="1:7" ht="14.1" customHeight="1" thickBot="1">
      <c r="A2246" s="483"/>
      <c r="B2246" s="398"/>
      <c r="C2246" s="401"/>
      <c r="D2246" s="401"/>
      <c r="E2246" s="367" t="s">
        <v>158</v>
      </c>
      <c r="F2246" s="376">
        <f>SUM(F2241:F2245)</f>
        <v>1132.69</v>
      </c>
      <c r="G2246" s="1"/>
    </row>
    <row r="2247" spans="1:7" ht="14.1" customHeight="1" thickBot="1">
      <c r="A2247" s="484"/>
      <c r="B2247" s="398"/>
      <c r="C2247" s="401"/>
      <c r="D2247" s="401"/>
      <c r="E2247" s="401"/>
      <c r="F2247" s="367"/>
      <c r="G2247" s="1"/>
    </row>
    <row r="2248" spans="1:7" ht="14.1" customHeight="1" thickBot="1">
      <c r="A2248" s="480"/>
      <c r="B2248" s="142" t="s">
        <v>273</v>
      </c>
      <c r="C2248" s="369"/>
      <c r="D2248" s="369"/>
      <c r="E2248" s="377" t="s">
        <v>159</v>
      </c>
      <c r="F2248" s="376">
        <f>SUM(F2237+F2246)</f>
        <v>6272.6200000000008</v>
      </c>
      <c r="G2248" s="1"/>
    </row>
    <row r="2249" spans="1:7" ht="15" customHeight="1">
      <c r="A2249" s="626"/>
      <c r="B2249" s="627" t="s">
        <v>274</v>
      </c>
      <c r="C2249" s="628"/>
      <c r="D2249" s="628"/>
      <c r="E2249" s="629" t="s">
        <v>275</v>
      </c>
      <c r="F2249" s="631">
        <f>ROUND(F2248*'Coef. resumen'!$F$23, 2)</f>
        <v>9296.02</v>
      </c>
    </row>
    <row r="2250" spans="1:7" ht="15" customHeight="1" thickBot="1">
      <c r="A2250" s="626"/>
      <c r="B2250" s="627"/>
      <c r="C2250" s="628"/>
      <c r="D2250" s="628"/>
      <c r="E2250" s="630"/>
      <c r="F2250" s="632"/>
    </row>
    <row r="2251" spans="1:7" ht="15">
      <c r="A2251" s="471"/>
      <c r="B2251" s="2"/>
      <c r="C2251" s="402"/>
      <c r="D2251" s="402"/>
      <c r="E2251" s="402"/>
      <c r="F2251" s="402"/>
    </row>
    <row r="2252" spans="1:7" ht="15">
      <c r="A2252" s="471"/>
      <c r="B2252" s="2"/>
      <c r="C2252" s="402"/>
      <c r="D2252" s="402"/>
      <c r="E2252" s="402"/>
      <c r="F2252" s="402"/>
    </row>
    <row r="2253" spans="1:7" ht="15">
      <c r="A2253" s="471"/>
      <c r="B2253" s="194" t="str">
        <f>'Coef. resumen'!$B$30</f>
        <v>Julián Antonelli</v>
      </c>
      <c r="C2253" s="524"/>
      <c r="D2253" s="524"/>
      <c r="E2253" s="194" t="str">
        <f>'Coef. resumen'!$E$30</f>
        <v>Marcelo A. Pasquini</v>
      </c>
      <c r="F2253" s="402"/>
    </row>
    <row r="2254" spans="1:7" ht="15">
      <c r="A2254" s="471"/>
      <c r="B2254" s="194" t="str">
        <f>'Coef. resumen'!$B$31</f>
        <v>Ing. Civil M.P. 2161</v>
      </c>
      <c r="C2254" s="524"/>
      <c r="D2254" s="524"/>
      <c r="E2254" s="194" t="str">
        <f>'Coef. resumen'!$E$31</f>
        <v>Socio Gerente</v>
      </c>
      <c r="F2254" s="402"/>
    </row>
    <row r="2255" spans="1:7" ht="15">
      <c r="A2255" s="471"/>
      <c r="B2255" s="194" t="str">
        <f>'Coef. resumen'!$B$32</f>
        <v>Representante Técnico</v>
      </c>
      <c r="C2255" s="524"/>
      <c r="D2255" s="19"/>
      <c r="E2255" s="194" t="str">
        <f>'Coef. resumen'!$E$32</f>
        <v>Pasquini Construcciones SRL</v>
      </c>
      <c r="F2255" s="402"/>
    </row>
    <row r="2256" spans="1:7" ht="15">
      <c r="A2256" s="471"/>
      <c r="B2256" s="194"/>
      <c r="C2256" s="402"/>
      <c r="D2256" s="19"/>
      <c r="E2256" s="194"/>
      <c r="F2256" s="402"/>
    </row>
    <row r="2257" spans="1:7" ht="14.1" customHeight="1">
      <c r="A2257" s="477" t="s">
        <v>142</v>
      </c>
      <c r="B2257" s="613" t="str">
        <f>Presupuesto!B89</f>
        <v>Provisión y colocación de Bocas de registro de HºAº</v>
      </c>
      <c r="C2257" s="614"/>
      <c r="D2257" s="615"/>
      <c r="E2257" s="367" t="s">
        <v>143</v>
      </c>
      <c r="F2257" s="30" t="str">
        <f>Presupuesto!C89</f>
        <v>un</v>
      </c>
      <c r="G2257" s="1"/>
    </row>
    <row r="2258" spans="1:7" ht="14.1" customHeight="1">
      <c r="A2258" s="622" t="str">
        <f>Presupuesto!A89</f>
        <v>2.4.2</v>
      </c>
      <c r="B2258" s="616"/>
      <c r="C2258" s="617"/>
      <c r="D2258" s="618"/>
      <c r="E2258" s="367"/>
      <c r="F2258" s="367"/>
      <c r="G2258" s="1"/>
    </row>
    <row r="2259" spans="1:7" ht="14.1" customHeight="1">
      <c r="A2259" s="622"/>
      <c r="B2259" s="616"/>
      <c r="C2259" s="617"/>
      <c r="D2259" s="618"/>
      <c r="E2259" s="367"/>
      <c r="F2259" s="367"/>
      <c r="G2259" s="1"/>
    </row>
    <row r="2260" spans="1:7" ht="14.1" customHeight="1">
      <c r="A2260" s="623"/>
      <c r="B2260" s="619"/>
      <c r="C2260" s="620"/>
      <c r="D2260" s="621"/>
      <c r="E2260" s="367"/>
      <c r="F2260" s="367"/>
      <c r="G2260" s="1"/>
    </row>
    <row r="2261" spans="1:7" ht="14.1" customHeight="1">
      <c r="A2261" s="478"/>
      <c r="B2261" s="29"/>
      <c r="C2261" s="368"/>
      <c r="D2261" s="368"/>
      <c r="E2261" s="365"/>
      <c r="F2261" s="365"/>
      <c r="G2261" s="1"/>
    </row>
    <row r="2262" spans="1:7" ht="14.1" customHeight="1">
      <c r="A2262" s="624" t="s">
        <v>144</v>
      </c>
      <c r="B2262" s="624"/>
      <c r="C2262" s="624"/>
      <c r="D2262" s="624"/>
      <c r="E2262" s="624"/>
      <c r="F2262" s="624"/>
      <c r="G2262" s="1"/>
    </row>
    <row r="2263" spans="1:7" ht="14.1" customHeight="1">
      <c r="A2263" s="479"/>
      <c r="B2263" s="10"/>
      <c r="C2263" s="400"/>
      <c r="D2263" s="400"/>
      <c r="E2263" s="400"/>
      <c r="F2263" s="400"/>
      <c r="G2263" s="1"/>
    </row>
    <row r="2264" spans="1:7" ht="15.95" customHeight="1">
      <c r="A2264" s="480" t="s">
        <v>145</v>
      </c>
      <c r="B2264" s="11" t="s">
        <v>146</v>
      </c>
      <c r="C2264" s="11" t="s">
        <v>147</v>
      </c>
      <c r="D2264" s="11" t="s">
        <v>148</v>
      </c>
      <c r="E2264" s="12" t="s">
        <v>149</v>
      </c>
      <c r="F2264" s="11" t="s">
        <v>150</v>
      </c>
      <c r="G2264" s="1"/>
    </row>
    <row r="2265" spans="1:7" ht="14.1" customHeight="1">
      <c r="A2265" s="480">
        <v>1</v>
      </c>
      <c r="B2265" s="384" t="s">
        <v>1002</v>
      </c>
      <c r="C2265" s="305" t="s">
        <v>362</v>
      </c>
      <c r="D2265" s="385">
        <f>250*3.5</f>
        <v>875</v>
      </c>
      <c r="E2265" s="18">
        <f>'MAT 31-10-2013'!R$14</f>
        <v>1.013611111111111</v>
      </c>
      <c r="F2265" s="375">
        <f>ROUND(D2265*E2265, 2)</f>
        <v>886.91</v>
      </c>
      <c r="G2265" s="1"/>
    </row>
    <row r="2266" spans="1:7" ht="14.1" customHeight="1">
      <c r="A2266" s="480">
        <v>2</v>
      </c>
      <c r="B2266" s="384" t="s">
        <v>1070</v>
      </c>
      <c r="C2266" s="305" t="s">
        <v>53</v>
      </c>
      <c r="D2266" s="385">
        <f>0.65*3.5</f>
        <v>2.2749999999999999</v>
      </c>
      <c r="E2266" s="18">
        <f>'MAT 31-10-2013'!R$5</f>
        <v>39.059027777777771</v>
      </c>
      <c r="F2266" s="375">
        <f t="shared" ref="F2266:F2276" si="113">ROUND(D2266*E2266, 2)</f>
        <v>88.86</v>
      </c>
      <c r="G2266" s="1"/>
    </row>
    <row r="2267" spans="1:7" ht="14.1" customHeight="1">
      <c r="A2267" s="480">
        <v>3</v>
      </c>
      <c r="B2267" s="384" t="s">
        <v>1071</v>
      </c>
      <c r="C2267" s="305" t="s">
        <v>53</v>
      </c>
      <c r="D2267" s="385">
        <f>0.65*3.5</f>
        <v>2.2749999999999999</v>
      </c>
      <c r="E2267" s="18">
        <f>'MAT 31-10-2013'!R$7</f>
        <v>39.059027777777771</v>
      </c>
      <c r="F2267" s="375">
        <f t="shared" si="113"/>
        <v>88.86</v>
      </c>
      <c r="G2267" s="1"/>
    </row>
    <row r="2268" spans="1:7" ht="14.1" customHeight="1">
      <c r="A2268" s="480">
        <v>4</v>
      </c>
      <c r="B2268" s="384" t="s">
        <v>1003</v>
      </c>
      <c r="C2268" s="305" t="s">
        <v>362</v>
      </c>
      <c r="D2268" s="385">
        <f>20*3.5</f>
        <v>70</v>
      </c>
      <c r="E2268" s="18">
        <f>'MAT 31-10-2013'!R$32</f>
        <v>11.376875</v>
      </c>
      <c r="F2268" s="375">
        <f t="shared" si="113"/>
        <v>796.38</v>
      </c>
      <c r="G2268" s="1"/>
    </row>
    <row r="2269" spans="1:7" ht="14.1" customHeight="1">
      <c r="A2269" s="480">
        <v>5</v>
      </c>
      <c r="B2269" s="384" t="s">
        <v>1072</v>
      </c>
      <c r="C2269" s="305" t="s">
        <v>362</v>
      </c>
      <c r="D2269" s="385">
        <f>10*3.5</f>
        <v>35</v>
      </c>
      <c r="E2269" s="18">
        <f>'MAT 31-10-2013'!R$35</f>
        <v>18.193777777777775</v>
      </c>
      <c r="F2269" s="375">
        <f t="shared" si="113"/>
        <v>636.78</v>
      </c>
      <c r="G2269" s="1"/>
    </row>
    <row r="2270" spans="1:7" ht="14.1" customHeight="1">
      <c r="A2270" s="480">
        <v>6</v>
      </c>
      <c r="B2270" s="384" t="s">
        <v>1074</v>
      </c>
      <c r="C2270" s="305" t="s">
        <v>329</v>
      </c>
      <c r="D2270" s="385">
        <f>30*3.5</f>
        <v>105</v>
      </c>
      <c r="E2270" s="18">
        <f>'MAT 31-10-2013'!R$80</f>
        <v>6.75</v>
      </c>
      <c r="F2270" s="375">
        <f t="shared" si="113"/>
        <v>708.75</v>
      </c>
      <c r="G2270" s="1"/>
    </row>
    <row r="2271" spans="1:7" ht="14.1" customHeight="1">
      <c r="A2271" s="480">
        <v>7</v>
      </c>
      <c r="B2271" s="384" t="s">
        <v>1073</v>
      </c>
      <c r="C2271" s="305" t="s">
        <v>362</v>
      </c>
      <c r="D2271" s="385">
        <f>10*3.5</f>
        <v>35</v>
      </c>
      <c r="E2271" s="18">
        <f>'MAT 31-10-2013'!R$37</f>
        <v>16.809374999999999</v>
      </c>
      <c r="F2271" s="375">
        <f t="shared" si="113"/>
        <v>588.33000000000004</v>
      </c>
      <c r="G2271" s="1"/>
    </row>
    <row r="2272" spans="1:7" ht="14.1" customHeight="1">
      <c r="A2272" s="480">
        <v>8</v>
      </c>
      <c r="B2272" s="220"/>
      <c r="C2272" s="399"/>
      <c r="D2272" s="224"/>
      <c r="E2272" s="18"/>
      <c r="F2272" s="375">
        <f t="shared" si="113"/>
        <v>0</v>
      </c>
      <c r="G2272" s="1"/>
    </row>
    <row r="2273" spans="1:7" ht="14.1" customHeight="1">
      <c r="A2273" s="480">
        <v>9</v>
      </c>
      <c r="B2273" s="220"/>
      <c r="C2273" s="399"/>
      <c r="D2273" s="224"/>
      <c r="E2273" s="18"/>
      <c r="F2273" s="375">
        <f t="shared" si="113"/>
        <v>0</v>
      </c>
      <c r="G2273" s="1"/>
    </row>
    <row r="2274" spans="1:7" ht="14.1" customHeight="1">
      <c r="A2274" s="480">
        <v>10</v>
      </c>
      <c r="B2274" s="13"/>
      <c r="C2274" s="11"/>
      <c r="D2274" s="14"/>
      <c r="E2274" s="18"/>
      <c r="F2274" s="375">
        <f t="shared" si="113"/>
        <v>0</v>
      </c>
      <c r="G2274" s="1"/>
    </row>
    <row r="2275" spans="1:7" ht="14.1" customHeight="1">
      <c r="A2275" s="480">
        <v>11</v>
      </c>
      <c r="B2275" s="13"/>
      <c r="C2275" s="11"/>
      <c r="D2275" s="11"/>
      <c r="E2275" s="18"/>
      <c r="F2275" s="375">
        <f t="shared" si="113"/>
        <v>0</v>
      </c>
      <c r="G2275" s="1"/>
    </row>
    <row r="2276" spans="1:7" ht="14.1" customHeight="1" thickBot="1">
      <c r="A2276" s="480">
        <v>12</v>
      </c>
      <c r="B2276" s="13"/>
      <c r="C2276" s="11"/>
      <c r="D2276" s="11"/>
      <c r="E2276" s="18"/>
      <c r="F2276" s="375">
        <f t="shared" si="113"/>
        <v>0</v>
      </c>
      <c r="G2276" s="1"/>
    </row>
    <row r="2277" spans="1:7" ht="14.1" customHeight="1" thickBot="1">
      <c r="A2277" s="481"/>
      <c r="B2277" s="5"/>
      <c r="C2277" s="367"/>
      <c r="D2277" s="367"/>
      <c r="E2277" s="367" t="s">
        <v>151</v>
      </c>
      <c r="F2277" s="376">
        <f>SUM(F2265:F2276)</f>
        <v>3794.87</v>
      </c>
      <c r="G2277" s="1"/>
    </row>
    <row r="2278" spans="1:7" ht="14.1" customHeight="1">
      <c r="A2278" s="482"/>
      <c r="B2278" s="398"/>
      <c r="C2278" s="401"/>
      <c r="D2278" s="401"/>
      <c r="E2278" s="401"/>
      <c r="F2278" s="401"/>
      <c r="G2278" s="1"/>
    </row>
    <row r="2279" spans="1:7" ht="14.1" customHeight="1">
      <c r="A2279" s="625" t="s">
        <v>152</v>
      </c>
      <c r="B2279" s="625"/>
      <c r="C2279" s="625"/>
      <c r="D2279" s="625"/>
      <c r="E2279" s="625"/>
      <c r="F2279" s="625"/>
      <c r="G2279" s="1"/>
    </row>
    <row r="2280" spans="1:7" ht="14.1" customHeight="1">
      <c r="A2280" s="482"/>
      <c r="B2280" s="398"/>
      <c r="C2280" s="401"/>
      <c r="D2280" s="401"/>
      <c r="E2280" s="401"/>
      <c r="F2280" s="367"/>
      <c r="G2280" s="1"/>
    </row>
    <row r="2281" spans="1:7" ht="14.1" customHeight="1">
      <c r="A2281" s="480">
        <v>13</v>
      </c>
      <c r="B2281" s="17" t="s">
        <v>153</v>
      </c>
      <c r="C2281" s="11" t="s">
        <v>154</v>
      </c>
      <c r="D2281" s="14">
        <v>0</v>
      </c>
      <c r="E2281" s="18">
        <f>'Mano de obra'!$J$20</f>
        <v>82.610000000000014</v>
      </c>
      <c r="F2281" s="375">
        <f>ROUND(D2281*E2281, 2)</f>
        <v>0</v>
      </c>
      <c r="G2281" s="1"/>
    </row>
    <row r="2282" spans="1:7" ht="14.1" customHeight="1">
      <c r="A2282" s="480">
        <v>14</v>
      </c>
      <c r="B2282" s="17" t="s">
        <v>155</v>
      </c>
      <c r="C2282" s="11" t="s">
        <v>154</v>
      </c>
      <c r="D2282" s="14">
        <v>36</v>
      </c>
      <c r="E2282" s="18">
        <f>'Mano de obra'!$J$21</f>
        <v>70.38</v>
      </c>
      <c r="F2282" s="375">
        <f t="shared" ref="F2282:F2285" si="114">ROUND(D2282*E2282, 2)</f>
        <v>2533.6799999999998</v>
      </c>
      <c r="G2282" s="1"/>
    </row>
    <row r="2283" spans="1:7" ht="14.1" customHeight="1">
      <c r="A2283" s="480">
        <v>15</v>
      </c>
      <c r="B2283" s="17" t="s">
        <v>156</v>
      </c>
      <c r="C2283" s="11" t="s">
        <v>154</v>
      </c>
      <c r="D2283" s="14">
        <v>0</v>
      </c>
      <c r="E2283" s="18">
        <f>'Mano de obra'!$J$22</f>
        <v>64.78</v>
      </c>
      <c r="F2283" s="375">
        <f t="shared" si="114"/>
        <v>0</v>
      </c>
      <c r="G2283" s="1"/>
    </row>
    <row r="2284" spans="1:7" ht="14.1" customHeight="1">
      <c r="A2284" s="480">
        <v>16</v>
      </c>
      <c r="B2284" s="17" t="s">
        <v>157</v>
      </c>
      <c r="C2284" s="11" t="s">
        <v>154</v>
      </c>
      <c r="D2284" s="14">
        <v>30</v>
      </c>
      <c r="E2284" s="18">
        <f>'Mano de obra'!$J$23</f>
        <v>59.800000000000004</v>
      </c>
      <c r="F2284" s="375">
        <f t="shared" si="114"/>
        <v>1794</v>
      </c>
      <c r="G2284" s="1"/>
    </row>
    <row r="2285" spans="1:7" ht="14.1" customHeight="1" thickBot="1">
      <c r="A2285" s="480">
        <v>17</v>
      </c>
      <c r="B2285" s="13"/>
      <c r="C2285" s="11"/>
      <c r="D2285" s="11"/>
      <c r="E2285" s="18"/>
      <c r="F2285" s="375">
        <f t="shared" si="114"/>
        <v>0</v>
      </c>
      <c r="G2285" s="1"/>
    </row>
    <row r="2286" spans="1:7" ht="14.1" customHeight="1" thickBot="1">
      <c r="A2286" s="483"/>
      <c r="B2286" s="398"/>
      <c r="C2286" s="401"/>
      <c r="D2286" s="401"/>
      <c r="E2286" s="367" t="s">
        <v>158</v>
      </c>
      <c r="F2286" s="376">
        <f>SUM(F2281:F2285)</f>
        <v>4327.68</v>
      </c>
      <c r="G2286" s="1"/>
    </row>
    <row r="2287" spans="1:7" ht="14.1" customHeight="1" thickBot="1">
      <c r="A2287" s="484"/>
      <c r="B2287" s="398"/>
      <c r="C2287" s="401"/>
      <c r="D2287" s="401"/>
      <c r="E2287" s="401"/>
      <c r="F2287" s="367"/>
      <c r="G2287" s="1"/>
    </row>
    <row r="2288" spans="1:7" ht="14.1" customHeight="1" thickBot="1">
      <c r="A2288" s="480"/>
      <c r="B2288" s="142" t="s">
        <v>273</v>
      </c>
      <c r="C2288" s="369"/>
      <c r="D2288" s="369"/>
      <c r="E2288" s="377" t="s">
        <v>159</v>
      </c>
      <c r="F2288" s="376">
        <f>SUM(F2277+F2286)</f>
        <v>8122.55</v>
      </c>
      <c r="G2288" s="1"/>
    </row>
    <row r="2289" spans="1:7" ht="15" customHeight="1">
      <c r="A2289" s="626"/>
      <c r="B2289" s="627" t="s">
        <v>274</v>
      </c>
      <c r="C2289" s="628"/>
      <c r="D2289" s="628"/>
      <c r="E2289" s="629" t="s">
        <v>275</v>
      </c>
      <c r="F2289" s="631">
        <f>ROUND(F2288*'Coef. resumen'!$F$23, 2)</f>
        <v>12037.62</v>
      </c>
    </row>
    <row r="2290" spans="1:7" ht="15" customHeight="1" thickBot="1">
      <c r="A2290" s="626"/>
      <c r="B2290" s="627"/>
      <c r="C2290" s="628"/>
      <c r="D2290" s="628"/>
      <c r="E2290" s="630"/>
      <c r="F2290" s="632"/>
    </row>
    <row r="2291" spans="1:7" ht="15">
      <c r="A2291" s="471"/>
      <c r="B2291" s="2"/>
      <c r="C2291" s="402"/>
      <c r="D2291" s="402"/>
      <c r="E2291" s="402"/>
      <c r="F2291" s="402"/>
    </row>
    <row r="2292" spans="1:7" ht="15">
      <c r="A2292" s="471"/>
      <c r="B2292" s="2"/>
      <c r="C2292" s="402"/>
      <c r="D2292" s="402"/>
      <c r="E2292" s="402"/>
      <c r="F2292" s="402"/>
    </row>
    <row r="2293" spans="1:7" ht="15">
      <c r="A2293" s="471"/>
      <c r="B2293" s="194" t="str">
        <f>'Coef. resumen'!$B$30</f>
        <v>Julián Antonelli</v>
      </c>
      <c r="C2293" s="524"/>
      <c r="D2293" s="524"/>
      <c r="E2293" s="194" t="str">
        <f>'Coef. resumen'!$E$30</f>
        <v>Marcelo A. Pasquini</v>
      </c>
      <c r="F2293" s="402"/>
    </row>
    <row r="2294" spans="1:7" ht="15">
      <c r="A2294" s="471"/>
      <c r="B2294" s="194" t="str">
        <f>'Coef. resumen'!$B$31</f>
        <v>Ing. Civil M.P. 2161</v>
      </c>
      <c r="C2294" s="524"/>
      <c r="D2294" s="524"/>
      <c r="E2294" s="194" t="str">
        <f>'Coef. resumen'!$E$31</f>
        <v>Socio Gerente</v>
      </c>
      <c r="F2294" s="402"/>
    </row>
    <row r="2295" spans="1:7" ht="15">
      <c r="A2295" s="471"/>
      <c r="B2295" s="194" t="str">
        <f>'Coef. resumen'!$B$32</f>
        <v>Representante Técnico</v>
      </c>
      <c r="C2295" s="524"/>
      <c r="D2295" s="19"/>
      <c r="E2295" s="194" t="str">
        <f>'Coef. resumen'!$E$32</f>
        <v>Pasquini Construcciones SRL</v>
      </c>
      <c r="F2295" s="402"/>
    </row>
    <row r="2296" spans="1:7" ht="15">
      <c r="A2296" s="471"/>
      <c r="B2296" s="194"/>
      <c r="C2296" s="402"/>
      <c r="D2296" s="19"/>
      <c r="E2296" s="194"/>
      <c r="F2296" s="402"/>
    </row>
    <row r="2297" spans="1:7" ht="14.1" customHeight="1">
      <c r="A2297" s="477" t="s">
        <v>142</v>
      </c>
      <c r="B2297" s="613" t="str">
        <f>Presupuesto!B90</f>
        <v>Provisión y colocación de losa con marco y tapa de HºFº diámetro 600 mm tipo pesado</v>
      </c>
      <c r="C2297" s="614"/>
      <c r="D2297" s="615"/>
      <c r="E2297" s="367" t="s">
        <v>143</v>
      </c>
      <c r="F2297" s="30" t="str">
        <f>Presupuesto!C90</f>
        <v>un</v>
      </c>
      <c r="G2297" s="1"/>
    </row>
    <row r="2298" spans="1:7" ht="14.1" customHeight="1">
      <c r="A2298" s="622" t="str">
        <f>Presupuesto!A90</f>
        <v>2.4.3</v>
      </c>
      <c r="B2298" s="616"/>
      <c r="C2298" s="617"/>
      <c r="D2298" s="618"/>
      <c r="E2298" s="367"/>
      <c r="F2298" s="367"/>
      <c r="G2298" s="1"/>
    </row>
    <row r="2299" spans="1:7" ht="14.1" customHeight="1">
      <c r="A2299" s="622"/>
      <c r="B2299" s="616"/>
      <c r="C2299" s="617"/>
      <c r="D2299" s="618"/>
      <c r="E2299" s="367"/>
      <c r="F2299" s="367"/>
      <c r="G2299" s="1"/>
    </row>
    <row r="2300" spans="1:7" ht="14.1" customHeight="1">
      <c r="A2300" s="623"/>
      <c r="B2300" s="619"/>
      <c r="C2300" s="620"/>
      <c r="D2300" s="621"/>
      <c r="E2300" s="367"/>
      <c r="F2300" s="367"/>
      <c r="G2300" s="1"/>
    </row>
    <row r="2301" spans="1:7" ht="14.1" customHeight="1">
      <c r="A2301" s="478"/>
      <c r="B2301" s="29"/>
      <c r="C2301" s="368"/>
      <c r="D2301" s="368"/>
      <c r="E2301" s="365"/>
      <c r="F2301" s="365"/>
      <c r="G2301" s="1"/>
    </row>
    <row r="2302" spans="1:7" ht="14.1" customHeight="1">
      <c r="A2302" s="624" t="s">
        <v>144</v>
      </c>
      <c r="B2302" s="624"/>
      <c r="C2302" s="624"/>
      <c r="D2302" s="624"/>
      <c r="E2302" s="624"/>
      <c r="F2302" s="624"/>
      <c r="G2302" s="1"/>
    </row>
    <row r="2303" spans="1:7" ht="14.1" customHeight="1">
      <c r="A2303" s="479"/>
      <c r="B2303" s="10"/>
      <c r="C2303" s="400"/>
      <c r="D2303" s="400"/>
      <c r="E2303" s="400"/>
      <c r="F2303" s="400"/>
      <c r="G2303" s="1"/>
    </row>
    <row r="2304" spans="1:7" ht="15.95" customHeight="1">
      <c r="A2304" s="480" t="s">
        <v>145</v>
      </c>
      <c r="B2304" s="11" t="s">
        <v>146</v>
      </c>
      <c r="C2304" s="11" t="s">
        <v>147</v>
      </c>
      <c r="D2304" s="11" t="s">
        <v>148</v>
      </c>
      <c r="E2304" s="12" t="s">
        <v>149</v>
      </c>
      <c r="F2304" s="11" t="s">
        <v>150</v>
      </c>
      <c r="G2304" s="1"/>
    </row>
    <row r="2305" spans="1:7" ht="14.1" customHeight="1">
      <c r="A2305" s="480">
        <v>1</v>
      </c>
      <c r="B2305" s="384" t="s">
        <v>1002</v>
      </c>
      <c r="C2305" s="305" t="s">
        <v>362</v>
      </c>
      <c r="D2305" s="385">
        <f>200*0.4</f>
        <v>80</v>
      </c>
      <c r="E2305" s="18">
        <f>'MAT 31-10-2013'!R$14</f>
        <v>1.013611111111111</v>
      </c>
      <c r="F2305" s="375">
        <f>ROUND(D2305*E2305, 2)</f>
        <v>81.09</v>
      </c>
      <c r="G2305" s="1"/>
    </row>
    <row r="2306" spans="1:7" ht="14.1" customHeight="1">
      <c r="A2306" s="480">
        <v>2</v>
      </c>
      <c r="B2306" s="384" t="s">
        <v>1070</v>
      </c>
      <c r="C2306" s="305" t="s">
        <v>53</v>
      </c>
      <c r="D2306" s="385">
        <f>0.65*0.4</f>
        <v>0.26</v>
      </c>
      <c r="E2306" s="18">
        <f>'MAT 31-10-2013'!R$5</f>
        <v>39.059027777777771</v>
      </c>
      <c r="F2306" s="375">
        <f t="shared" ref="F2306:F2316" si="115">ROUND(D2306*E2306, 2)</f>
        <v>10.16</v>
      </c>
      <c r="G2306" s="1"/>
    </row>
    <row r="2307" spans="1:7" ht="14.1" customHeight="1">
      <c r="A2307" s="480">
        <v>3</v>
      </c>
      <c r="B2307" s="384" t="s">
        <v>1071</v>
      </c>
      <c r="C2307" s="305" t="s">
        <v>53</v>
      </c>
      <c r="D2307" s="385">
        <f>0.65*0.4</f>
        <v>0.26</v>
      </c>
      <c r="E2307" s="18">
        <f>'MAT 31-10-2013'!R$7</f>
        <v>39.059027777777771</v>
      </c>
      <c r="F2307" s="375">
        <f t="shared" si="115"/>
        <v>10.16</v>
      </c>
      <c r="G2307" s="1"/>
    </row>
    <row r="2308" spans="1:7" ht="14.1" customHeight="1">
      <c r="A2308" s="480">
        <v>4</v>
      </c>
      <c r="B2308" s="384" t="s">
        <v>1003</v>
      </c>
      <c r="C2308" s="305" t="s">
        <v>362</v>
      </c>
      <c r="D2308" s="385">
        <f>40*0.4</f>
        <v>16</v>
      </c>
      <c r="E2308" s="18">
        <f>'MAT 31-10-2013'!R$32</f>
        <v>11.376875</v>
      </c>
      <c r="F2308" s="375">
        <f t="shared" si="115"/>
        <v>182.03</v>
      </c>
      <c r="G2308" s="1"/>
    </row>
    <row r="2309" spans="1:7" ht="14.1" customHeight="1">
      <c r="A2309" s="480">
        <v>5</v>
      </c>
      <c r="B2309" s="384" t="s">
        <v>1072</v>
      </c>
      <c r="C2309" s="305" t="s">
        <v>362</v>
      </c>
      <c r="D2309" s="385">
        <f>10*0.4</f>
        <v>4</v>
      </c>
      <c r="E2309" s="18">
        <f>'MAT 31-10-2013'!R$35</f>
        <v>18.193777777777775</v>
      </c>
      <c r="F2309" s="375">
        <f t="shared" si="115"/>
        <v>72.78</v>
      </c>
      <c r="G2309" s="1"/>
    </row>
    <row r="2310" spans="1:7" ht="14.1" customHeight="1">
      <c r="A2310" s="480">
        <v>6</v>
      </c>
      <c r="B2310" s="384" t="s">
        <v>1074</v>
      </c>
      <c r="C2310" s="305" t="s">
        <v>329</v>
      </c>
      <c r="D2310" s="385">
        <f>40*0.4</f>
        <v>16</v>
      </c>
      <c r="E2310" s="18">
        <f>'MAT 31-10-2013'!R$80</f>
        <v>6.75</v>
      </c>
      <c r="F2310" s="375">
        <f t="shared" si="115"/>
        <v>108</v>
      </c>
      <c r="G2310" s="1"/>
    </row>
    <row r="2311" spans="1:7" ht="14.1" customHeight="1">
      <c r="A2311" s="480">
        <v>7</v>
      </c>
      <c r="B2311" s="384" t="s">
        <v>1073</v>
      </c>
      <c r="C2311" s="305" t="s">
        <v>362</v>
      </c>
      <c r="D2311" s="385">
        <f>10*0.4</f>
        <v>4</v>
      </c>
      <c r="E2311" s="18">
        <f>'MAT 31-10-2013'!R$37</f>
        <v>16.809374999999999</v>
      </c>
      <c r="F2311" s="375">
        <f t="shared" si="115"/>
        <v>67.239999999999995</v>
      </c>
      <c r="G2311" s="1"/>
    </row>
    <row r="2312" spans="1:7" ht="14.1" customHeight="1">
      <c r="A2312" s="480">
        <v>8</v>
      </c>
      <c r="B2312" s="220" t="s">
        <v>1178</v>
      </c>
      <c r="C2312" s="399" t="s">
        <v>433</v>
      </c>
      <c r="D2312" s="224">
        <v>1</v>
      </c>
      <c r="E2312" s="18">
        <f>660*1.1</f>
        <v>726.00000000000011</v>
      </c>
      <c r="F2312" s="375">
        <f t="shared" si="115"/>
        <v>726</v>
      </c>
      <c r="G2312" s="1"/>
    </row>
    <row r="2313" spans="1:7" ht="14.1" customHeight="1">
      <c r="A2313" s="480">
        <v>9</v>
      </c>
      <c r="B2313" s="220"/>
      <c r="C2313" s="399"/>
      <c r="D2313" s="224"/>
      <c r="E2313" s="18"/>
      <c r="F2313" s="375">
        <f t="shared" si="115"/>
        <v>0</v>
      </c>
      <c r="G2313" s="1"/>
    </row>
    <row r="2314" spans="1:7" ht="14.1" customHeight="1">
      <c r="A2314" s="480">
        <v>10</v>
      </c>
      <c r="B2314" s="13"/>
      <c r="C2314" s="11"/>
      <c r="D2314" s="14"/>
      <c r="E2314" s="18"/>
      <c r="F2314" s="375">
        <f t="shared" si="115"/>
        <v>0</v>
      </c>
      <c r="G2314" s="1"/>
    </row>
    <row r="2315" spans="1:7" ht="14.1" customHeight="1">
      <c r="A2315" s="480">
        <v>11</v>
      </c>
      <c r="B2315" s="13"/>
      <c r="C2315" s="11"/>
      <c r="D2315" s="11"/>
      <c r="E2315" s="18"/>
      <c r="F2315" s="375">
        <f t="shared" si="115"/>
        <v>0</v>
      </c>
      <c r="G2315" s="1"/>
    </row>
    <row r="2316" spans="1:7" ht="14.1" customHeight="1" thickBot="1">
      <c r="A2316" s="480">
        <v>12</v>
      </c>
      <c r="B2316" s="13"/>
      <c r="C2316" s="11"/>
      <c r="D2316" s="11"/>
      <c r="E2316" s="18"/>
      <c r="F2316" s="375">
        <f t="shared" si="115"/>
        <v>0</v>
      </c>
      <c r="G2316" s="1"/>
    </row>
    <row r="2317" spans="1:7" ht="14.1" customHeight="1" thickBot="1">
      <c r="A2317" s="481"/>
      <c r="B2317" s="5"/>
      <c r="C2317" s="367"/>
      <c r="D2317" s="367"/>
      <c r="E2317" s="367" t="s">
        <v>151</v>
      </c>
      <c r="F2317" s="376">
        <f>SUM(F2305:F2316)</f>
        <v>1257.46</v>
      </c>
      <c r="G2317" s="1"/>
    </row>
    <row r="2318" spans="1:7" ht="14.1" customHeight="1">
      <c r="A2318" s="482"/>
      <c r="B2318" s="398"/>
      <c r="C2318" s="401"/>
      <c r="D2318" s="401"/>
      <c r="E2318" s="401"/>
      <c r="F2318" s="401"/>
      <c r="G2318" s="1"/>
    </row>
    <row r="2319" spans="1:7" ht="14.1" customHeight="1">
      <c r="A2319" s="625" t="s">
        <v>152</v>
      </c>
      <c r="B2319" s="625"/>
      <c r="C2319" s="625"/>
      <c r="D2319" s="625"/>
      <c r="E2319" s="625"/>
      <c r="F2319" s="625"/>
      <c r="G2319" s="1"/>
    </row>
    <row r="2320" spans="1:7" ht="14.1" customHeight="1">
      <c r="A2320" s="482"/>
      <c r="B2320" s="398"/>
      <c r="C2320" s="401"/>
      <c r="D2320" s="401"/>
      <c r="E2320" s="401"/>
      <c r="F2320" s="367"/>
      <c r="G2320" s="1"/>
    </row>
    <row r="2321" spans="1:7" ht="14.1" customHeight="1">
      <c r="A2321" s="480">
        <v>13</v>
      </c>
      <c r="B2321" s="17" t="s">
        <v>153</v>
      </c>
      <c r="C2321" s="11" t="s">
        <v>154</v>
      </c>
      <c r="D2321" s="14">
        <v>0</v>
      </c>
      <c r="E2321" s="18">
        <f>'Mano de obra'!$J$20</f>
        <v>82.610000000000014</v>
      </c>
      <c r="F2321" s="375">
        <f>ROUND(D2321*E2321, 2)</f>
        <v>0</v>
      </c>
      <c r="G2321" s="1"/>
    </row>
    <row r="2322" spans="1:7" ht="14.1" customHeight="1">
      <c r="A2322" s="480">
        <v>14</v>
      </c>
      <c r="B2322" s="17" t="s">
        <v>155</v>
      </c>
      <c r="C2322" s="11" t="s">
        <v>154</v>
      </c>
      <c r="D2322" s="14">
        <v>4</v>
      </c>
      <c r="E2322" s="18">
        <f>'Mano de obra'!$J$21</f>
        <v>70.38</v>
      </c>
      <c r="F2322" s="375">
        <f t="shared" ref="F2322:F2325" si="116">ROUND(D2322*E2322, 2)</f>
        <v>281.52</v>
      </c>
      <c r="G2322" s="1"/>
    </row>
    <row r="2323" spans="1:7" ht="14.1" customHeight="1">
      <c r="A2323" s="480">
        <v>15</v>
      </c>
      <c r="B2323" s="17" t="s">
        <v>156</v>
      </c>
      <c r="C2323" s="11" t="s">
        <v>154</v>
      </c>
      <c r="D2323" s="14">
        <v>0</v>
      </c>
      <c r="E2323" s="18">
        <f>'Mano de obra'!$J$22</f>
        <v>64.78</v>
      </c>
      <c r="F2323" s="375">
        <f t="shared" si="116"/>
        <v>0</v>
      </c>
      <c r="G2323" s="1"/>
    </row>
    <row r="2324" spans="1:7" ht="14.1" customHeight="1">
      <c r="A2324" s="480">
        <v>16</v>
      </c>
      <c r="B2324" s="17" t="s">
        <v>157</v>
      </c>
      <c r="C2324" s="11" t="s">
        <v>154</v>
      </c>
      <c r="D2324" s="14">
        <v>4</v>
      </c>
      <c r="E2324" s="18">
        <f>'Mano de obra'!$J$23</f>
        <v>59.800000000000004</v>
      </c>
      <c r="F2324" s="375">
        <f t="shared" si="116"/>
        <v>239.2</v>
      </c>
      <c r="G2324" s="1"/>
    </row>
    <row r="2325" spans="1:7" ht="14.1" customHeight="1" thickBot="1">
      <c r="A2325" s="480">
        <v>17</v>
      </c>
      <c r="B2325" s="13"/>
      <c r="C2325" s="11"/>
      <c r="D2325" s="11"/>
      <c r="E2325" s="18"/>
      <c r="F2325" s="375">
        <f t="shared" si="116"/>
        <v>0</v>
      </c>
      <c r="G2325" s="1"/>
    </row>
    <row r="2326" spans="1:7" ht="14.1" customHeight="1" thickBot="1">
      <c r="A2326" s="483"/>
      <c r="B2326" s="398"/>
      <c r="C2326" s="401"/>
      <c r="D2326" s="401"/>
      <c r="E2326" s="367" t="s">
        <v>158</v>
      </c>
      <c r="F2326" s="376">
        <f>SUM(F2321:F2325)</f>
        <v>520.72</v>
      </c>
      <c r="G2326" s="1"/>
    </row>
    <row r="2327" spans="1:7" ht="14.1" customHeight="1" thickBot="1">
      <c r="A2327" s="484"/>
      <c r="B2327" s="398"/>
      <c r="C2327" s="401"/>
      <c r="D2327" s="401"/>
      <c r="E2327" s="401"/>
      <c r="F2327" s="367"/>
      <c r="G2327" s="1"/>
    </row>
    <row r="2328" spans="1:7" ht="14.1" customHeight="1" thickBot="1">
      <c r="A2328" s="480"/>
      <c r="B2328" s="142" t="s">
        <v>273</v>
      </c>
      <c r="C2328" s="369"/>
      <c r="D2328" s="369"/>
      <c r="E2328" s="377" t="s">
        <v>159</v>
      </c>
      <c r="F2328" s="376">
        <f>SUM(F2317+F2326)</f>
        <v>1778.18</v>
      </c>
      <c r="G2328" s="1"/>
    </row>
    <row r="2329" spans="1:7" ht="15" customHeight="1">
      <c r="A2329" s="626"/>
      <c r="B2329" s="627" t="s">
        <v>274</v>
      </c>
      <c r="C2329" s="628"/>
      <c r="D2329" s="628"/>
      <c r="E2329" s="629" t="s">
        <v>275</v>
      </c>
      <c r="F2329" s="631">
        <f>ROUND(F2328*'Coef. resumen'!$F$23, 2)</f>
        <v>2635.26</v>
      </c>
    </row>
    <row r="2330" spans="1:7" ht="15" customHeight="1" thickBot="1">
      <c r="A2330" s="626"/>
      <c r="B2330" s="627"/>
      <c r="C2330" s="628"/>
      <c r="D2330" s="628"/>
      <c r="E2330" s="630"/>
      <c r="F2330" s="632"/>
    </row>
    <row r="2331" spans="1:7" ht="15">
      <c r="A2331" s="471"/>
      <c r="B2331" s="2"/>
      <c r="C2331" s="402"/>
      <c r="D2331" s="402"/>
      <c r="E2331" s="402"/>
      <c r="F2331" s="402"/>
    </row>
    <row r="2332" spans="1:7" ht="15">
      <c r="A2332" s="471"/>
      <c r="B2332" s="2"/>
      <c r="C2332" s="402"/>
      <c r="D2332" s="402"/>
      <c r="E2332" s="402"/>
      <c r="F2332" s="402"/>
    </row>
    <row r="2333" spans="1:7" ht="15">
      <c r="A2333" s="471"/>
      <c r="B2333" s="194" t="str">
        <f>'Coef. resumen'!$B$30</f>
        <v>Julián Antonelli</v>
      </c>
      <c r="C2333" s="524"/>
      <c r="D2333" s="524"/>
      <c r="E2333" s="194" t="str">
        <f>'Coef. resumen'!$E$30</f>
        <v>Marcelo A. Pasquini</v>
      </c>
      <c r="F2333" s="402"/>
    </row>
    <row r="2334" spans="1:7" ht="15">
      <c r="A2334" s="471"/>
      <c r="B2334" s="194" t="str">
        <f>'Coef. resumen'!$B$31</f>
        <v>Ing. Civil M.P. 2161</v>
      </c>
      <c r="C2334" s="524"/>
      <c r="D2334" s="524"/>
      <c r="E2334" s="194" t="str">
        <f>'Coef. resumen'!$E$31</f>
        <v>Socio Gerente</v>
      </c>
      <c r="F2334" s="402"/>
    </row>
    <row r="2335" spans="1:7" ht="15">
      <c r="A2335" s="471"/>
      <c r="B2335" s="194" t="str">
        <f>'Coef. resumen'!$B$32</f>
        <v>Representante Técnico</v>
      </c>
      <c r="C2335" s="524"/>
      <c r="D2335" s="19"/>
      <c r="E2335" s="194" t="str">
        <f>'Coef. resumen'!$E$32</f>
        <v>Pasquini Construcciones SRL</v>
      </c>
      <c r="F2335" s="402"/>
    </row>
    <row r="2336" spans="1:7" ht="15">
      <c r="A2336" s="471"/>
      <c r="B2336" s="194"/>
      <c r="C2336" s="402"/>
      <c r="D2336" s="19"/>
      <c r="E2336" s="194"/>
      <c r="F2336" s="402"/>
    </row>
    <row r="2337" spans="1:7" ht="14.1" customHeight="1">
      <c r="A2337" s="477" t="s">
        <v>142</v>
      </c>
      <c r="B2337" s="613" t="str">
        <f>Presupuesto!B93</f>
        <v>Movimiento de suelo - desmonte</v>
      </c>
      <c r="C2337" s="614"/>
      <c r="D2337" s="615"/>
      <c r="E2337" s="367" t="s">
        <v>143</v>
      </c>
      <c r="F2337" s="30" t="str">
        <f>Presupuesto!C93</f>
        <v>m3</v>
      </c>
      <c r="G2337" s="1"/>
    </row>
    <row r="2338" spans="1:7" ht="14.1" customHeight="1">
      <c r="A2338" s="622" t="str">
        <f>Presupuesto!A93</f>
        <v>3.1.1</v>
      </c>
      <c r="B2338" s="616"/>
      <c r="C2338" s="617"/>
      <c r="D2338" s="618"/>
      <c r="E2338" s="367"/>
      <c r="F2338" s="367"/>
      <c r="G2338" s="1"/>
    </row>
    <row r="2339" spans="1:7" ht="14.1" customHeight="1">
      <c r="A2339" s="622"/>
      <c r="B2339" s="616"/>
      <c r="C2339" s="617"/>
      <c r="D2339" s="618"/>
      <c r="E2339" s="367"/>
      <c r="F2339" s="367"/>
      <c r="G2339" s="1"/>
    </row>
    <row r="2340" spans="1:7" ht="14.1" customHeight="1">
      <c r="A2340" s="623"/>
      <c r="B2340" s="619"/>
      <c r="C2340" s="620"/>
      <c r="D2340" s="621"/>
      <c r="E2340" s="367"/>
      <c r="F2340" s="367"/>
      <c r="G2340" s="1"/>
    </row>
    <row r="2341" spans="1:7" ht="14.1" customHeight="1">
      <c r="A2341" s="478"/>
      <c r="B2341" s="29"/>
      <c r="C2341" s="368"/>
      <c r="D2341" s="368"/>
      <c r="E2341" s="365"/>
      <c r="F2341" s="365"/>
      <c r="G2341" s="1"/>
    </row>
    <row r="2342" spans="1:7" ht="14.1" customHeight="1">
      <c r="A2342" s="624" t="s">
        <v>144</v>
      </c>
      <c r="B2342" s="624"/>
      <c r="C2342" s="624"/>
      <c r="D2342" s="624"/>
      <c r="E2342" s="624"/>
      <c r="F2342" s="624"/>
      <c r="G2342" s="1"/>
    </row>
    <row r="2343" spans="1:7" ht="14.1" customHeight="1">
      <c r="A2343" s="479"/>
      <c r="B2343" s="10"/>
      <c r="C2343" s="400"/>
      <c r="D2343" s="400"/>
      <c r="E2343" s="400"/>
      <c r="F2343" s="400"/>
      <c r="G2343" s="1"/>
    </row>
    <row r="2344" spans="1:7" ht="15.95" customHeight="1">
      <c r="A2344" s="480" t="s">
        <v>145</v>
      </c>
      <c r="B2344" s="11" t="s">
        <v>146</v>
      </c>
      <c r="C2344" s="11" t="s">
        <v>147</v>
      </c>
      <c r="D2344" s="11" t="s">
        <v>148</v>
      </c>
      <c r="E2344" s="12" t="s">
        <v>149</v>
      </c>
      <c r="F2344" s="11" t="s">
        <v>150</v>
      </c>
      <c r="G2344" s="1"/>
    </row>
    <row r="2345" spans="1:7" ht="14.1" customHeight="1">
      <c r="A2345" s="480">
        <v>1</v>
      </c>
      <c r="B2345" s="384" t="s">
        <v>1183</v>
      </c>
      <c r="C2345" s="305" t="s">
        <v>1026</v>
      </c>
      <c r="D2345" s="385">
        <v>1</v>
      </c>
      <c r="E2345" s="18">
        <v>0.5</v>
      </c>
      <c r="F2345" s="375">
        <f>ROUND(D2345*E2345, 2)</f>
        <v>0.5</v>
      </c>
      <c r="G2345" s="1"/>
    </row>
    <row r="2346" spans="1:7" ht="14.1" customHeight="1">
      <c r="A2346" s="480">
        <v>2</v>
      </c>
      <c r="B2346" s="411" t="s">
        <v>324</v>
      </c>
      <c r="C2346" s="305" t="s">
        <v>325</v>
      </c>
      <c r="D2346" s="221">
        <v>0.03</v>
      </c>
      <c r="E2346" s="18">
        <f>Equipos!S$21</f>
        <v>236.27157024793388</v>
      </c>
      <c r="F2346" s="375">
        <f t="shared" ref="F2346:F2356" si="117">ROUND(D2346*E2346, 2)</f>
        <v>7.09</v>
      </c>
      <c r="G2346" s="1"/>
    </row>
    <row r="2347" spans="1:7" ht="14.1" customHeight="1">
      <c r="A2347" s="480">
        <v>3</v>
      </c>
      <c r="B2347" s="411" t="s">
        <v>1184</v>
      </c>
      <c r="C2347" s="305" t="s">
        <v>325</v>
      </c>
      <c r="D2347" s="221">
        <v>0.06</v>
      </c>
      <c r="E2347" s="18">
        <f>Equipos!S$20</f>
        <v>132.98876033057851</v>
      </c>
      <c r="F2347" s="375">
        <f t="shared" si="117"/>
        <v>7.98</v>
      </c>
      <c r="G2347" s="1"/>
    </row>
    <row r="2348" spans="1:7" ht="14.1" customHeight="1">
      <c r="A2348" s="480">
        <v>4</v>
      </c>
      <c r="B2348" s="411" t="s">
        <v>326</v>
      </c>
      <c r="C2348" s="305" t="s">
        <v>325</v>
      </c>
      <c r="D2348" s="221">
        <v>0.03</v>
      </c>
      <c r="E2348" s="18">
        <f>Equipos!S$19</f>
        <v>256.28945454545453</v>
      </c>
      <c r="F2348" s="375">
        <f t="shared" si="117"/>
        <v>7.69</v>
      </c>
      <c r="G2348" s="1"/>
    </row>
    <row r="2349" spans="1:7" ht="14.1" customHeight="1">
      <c r="A2349" s="480">
        <v>5</v>
      </c>
      <c r="B2349" s="411" t="s">
        <v>327</v>
      </c>
      <c r="C2349" s="305" t="s">
        <v>325</v>
      </c>
      <c r="D2349" s="221">
        <v>0.02</v>
      </c>
      <c r="E2349" s="18">
        <f>Equipos!S$24</f>
        <v>302.32601652892561</v>
      </c>
      <c r="F2349" s="375">
        <f t="shared" si="117"/>
        <v>6.05</v>
      </c>
      <c r="G2349" s="1"/>
    </row>
    <row r="2350" spans="1:7" ht="14.1" customHeight="1">
      <c r="A2350" s="480">
        <v>6</v>
      </c>
      <c r="B2350" s="411" t="s">
        <v>1185</v>
      </c>
      <c r="C2350" s="305" t="s">
        <v>325</v>
      </c>
      <c r="D2350" s="385">
        <v>0.01</v>
      </c>
      <c r="E2350" s="18">
        <f>Equipos!S$28</f>
        <v>3.9899999999999998</v>
      </c>
      <c r="F2350" s="375">
        <f t="shared" si="117"/>
        <v>0.04</v>
      </c>
      <c r="G2350" s="1"/>
    </row>
    <row r="2351" spans="1:7" ht="14.1" customHeight="1">
      <c r="A2351" s="480">
        <v>7</v>
      </c>
      <c r="B2351" s="411" t="s">
        <v>1186</v>
      </c>
      <c r="C2351" s="305" t="s">
        <v>325</v>
      </c>
      <c r="D2351" s="385">
        <v>0.01</v>
      </c>
      <c r="E2351" s="18">
        <f>Equipos!S$26</f>
        <v>81.878033057851241</v>
      </c>
      <c r="F2351" s="375">
        <f t="shared" si="117"/>
        <v>0.82</v>
      </c>
      <c r="G2351" s="1"/>
    </row>
    <row r="2352" spans="1:7" ht="14.1" customHeight="1">
      <c r="A2352" s="480">
        <v>8</v>
      </c>
      <c r="B2352" s="411" t="s">
        <v>1187</v>
      </c>
      <c r="C2352" s="399" t="s">
        <v>325</v>
      </c>
      <c r="D2352" s="385">
        <v>0.01</v>
      </c>
      <c r="E2352" s="18">
        <f>Equipos!S$30</f>
        <v>122.42876033057851</v>
      </c>
      <c r="F2352" s="375">
        <f t="shared" si="117"/>
        <v>1.22</v>
      </c>
      <c r="G2352" s="1"/>
    </row>
    <row r="2353" spans="1:7" ht="14.1" customHeight="1">
      <c r="A2353" s="480">
        <v>9</v>
      </c>
      <c r="B2353" s="220"/>
      <c r="C2353" s="399"/>
      <c r="D2353" s="224"/>
      <c r="E2353" s="18"/>
      <c r="F2353" s="375">
        <f t="shared" si="117"/>
        <v>0</v>
      </c>
      <c r="G2353" s="1"/>
    </row>
    <row r="2354" spans="1:7" ht="14.1" customHeight="1">
      <c r="A2354" s="480">
        <v>10</v>
      </c>
      <c r="B2354" s="13"/>
      <c r="C2354" s="11"/>
      <c r="D2354" s="14"/>
      <c r="E2354" s="18"/>
      <c r="F2354" s="375">
        <f t="shared" si="117"/>
        <v>0</v>
      </c>
      <c r="G2354" s="1"/>
    </row>
    <row r="2355" spans="1:7" ht="14.1" customHeight="1">
      <c r="A2355" s="480">
        <v>11</v>
      </c>
      <c r="B2355" s="13"/>
      <c r="C2355" s="11"/>
      <c r="D2355" s="11"/>
      <c r="E2355" s="18"/>
      <c r="F2355" s="375">
        <f t="shared" si="117"/>
        <v>0</v>
      </c>
      <c r="G2355" s="1"/>
    </row>
    <row r="2356" spans="1:7" ht="14.1" customHeight="1" thickBot="1">
      <c r="A2356" s="480">
        <v>12</v>
      </c>
      <c r="B2356" s="13"/>
      <c r="C2356" s="11"/>
      <c r="D2356" s="11"/>
      <c r="E2356" s="18"/>
      <c r="F2356" s="375">
        <f t="shared" si="117"/>
        <v>0</v>
      </c>
      <c r="G2356" s="1"/>
    </row>
    <row r="2357" spans="1:7" ht="14.1" customHeight="1" thickBot="1">
      <c r="A2357" s="481"/>
      <c r="B2357" s="5"/>
      <c r="C2357" s="367"/>
      <c r="D2357" s="367"/>
      <c r="E2357" s="367" t="s">
        <v>151</v>
      </c>
      <c r="F2357" s="376">
        <f>SUM(F2345:F2356)</f>
        <v>31.39</v>
      </c>
      <c r="G2357" s="1"/>
    </row>
    <row r="2358" spans="1:7" ht="14.1" customHeight="1">
      <c r="A2358" s="482"/>
      <c r="B2358" s="398"/>
      <c r="C2358" s="401"/>
      <c r="D2358" s="401"/>
      <c r="E2358" s="401"/>
      <c r="F2358" s="401"/>
      <c r="G2358" s="1"/>
    </row>
    <row r="2359" spans="1:7" ht="14.1" customHeight="1">
      <c r="A2359" s="625" t="s">
        <v>152</v>
      </c>
      <c r="B2359" s="625"/>
      <c r="C2359" s="625"/>
      <c r="D2359" s="625"/>
      <c r="E2359" s="625"/>
      <c r="F2359" s="625"/>
      <c r="G2359" s="1"/>
    </row>
    <row r="2360" spans="1:7" ht="14.1" customHeight="1">
      <c r="A2360" s="482"/>
      <c r="B2360" s="398"/>
      <c r="C2360" s="401"/>
      <c r="D2360" s="401"/>
      <c r="E2360" s="401"/>
      <c r="F2360" s="367"/>
      <c r="G2360" s="1"/>
    </row>
    <row r="2361" spans="1:7" ht="14.1" customHeight="1">
      <c r="A2361" s="480">
        <v>13</v>
      </c>
      <c r="B2361" s="17" t="s">
        <v>153</v>
      </c>
      <c r="C2361" s="11" t="s">
        <v>154</v>
      </c>
      <c r="D2361" s="14">
        <f>SUM(D2346:D2352)</f>
        <v>0.17</v>
      </c>
      <c r="E2361" s="18">
        <f>'Mano de obra'!$J$20</f>
        <v>82.610000000000014</v>
      </c>
      <c r="F2361" s="375">
        <f>ROUND(D2361*E2361, 2)</f>
        <v>14.04</v>
      </c>
      <c r="G2361" s="1"/>
    </row>
    <row r="2362" spans="1:7" ht="14.1" customHeight="1">
      <c r="A2362" s="480">
        <v>14</v>
      </c>
      <c r="B2362" s="17" t="s">
        <v>155</v>
      </c>
      <c r="C2362" s="11" t="s">
        <v>154</v>
      </c>
      <c r="D2362" s="14"/>
      <c r="E2362" s="18">
        <f>'Mano de obra'!$J$21</f>
        <v>70.38</v>
      </c>
      <c r="F2362" s="375">
        <f t="shared" ref="F2362:F2365" si="118">ROUND(D2362*E2362, 2)</f>
        <v>0</v>
      </c>
      <c r="G2362" s="1"/>
    </row>
    <row r="2363" spans="1:7" ht="14.1" customHeight="1">
      <c r="A2363" s="480">
        <v>15</v>
      </c>
      <c r="B2363" s="17" t="s">
        <v>156</v>
      </c>
      <c r="C2363" s="11" t="s">
        <v>154</v>
      </c>
      <c r="D2363" s="14"/>
      <c r="E2363" s="18">
        <f>'Mano de obra'!$J$22</f>
        <v>64.78</v>
      </c>
      <c r="F2363" s="375">
        <f t="shared" si="118"/>
        <v>0</v>
      </c>
      <c r="G2363" s="1"/>
    </row>
    <row r="2364" spans="1:7" ht="14.1" customHeight="1">
      <c r="A2364" s="480">
        <v>16</v>
      </c>
      <c r="B2364" s="17" t="s">
        <v>157</v>
      </c>
      <c r="C2364" s="11" t="s">
        <v>154</v>
      </c>
      <c r="D2364" s="14">
        <v>0.1</v>
      </c>
      <c r="E2364" s="18">
        <f>'Mano de obra'!$J$23</f>
        <v>59.800000000000004</v>
      </c>
      <c r="F2364" s="375">
        <f t="shared" si="118"/>
        <v>5.98</v>
      </c>
      <c r="G2364" s="1"/>
    </row>
    <row r="2365" spans="1:7" ht="14.1" customHeight="1" thickBot="1">
      <c r="A2365" s="480">
        <v>17</v>
      </c>
      <c r="B2365" s="13"/>
      <c r="C2365" s="11"/>
      <c r="D2365" s="11"/>
      <c r="E2365" s="18"/>
      <c r="F2365" s="375">
        <f t="shared" si="118"/>
        <v>0</v>
      </c>
      <c r="G2365" s="1"/>
    </row>
    <row r="2366" spans="1:7" ht="14.1" customHeight="1" thickBot="1">
      <c r="A2366" s="483"/>
      <c r="B2366" s="398"/>
      <c r="C2366" s="401"/>
      <c r="D2366" s="401"/>
      <c r="E2366" s="367" t="s">
        <v>158</v>
      </c>
      <c r="F2366" s="376">
        <f>SUM(F2361:F2365)</f>
        <v>20.02</v>
      </c>
      <c r="G2366" s="1"/>
    </row>
    <row r="2367" spans="1:7" ht="14.1" customHeight="1" thickBot="1">
      <c r="A2367" s="484"/>
      <c r="B2367" s="398"/>
      <c r="C2367" s="401"/>
      <c r="D2367" s="401"/>
      <c r="E2367" s="401"/>
      <c r="F2367" s="367"/>
      <c r="G2367" s="1"/>
    </row>
    <row r="2368" spans="1:7" ht="14.1" customHeight="1" thickBot="1">
      <c r="A2368" s="480"/>
      <c r="B2368" s="142" t="s">
        <v>273</v>
      </c>
      <c r="C2368" s="369"/>
      <c r="D2368" s="369"/>
      <c r="E2368" s="377" t="s">
        <v>159</v>
      </c>
      <c r="F2368" s="376">
        <f>SUM(F2357+F2366)</f>
        <v>51.41</v>
      </c>
      <c r="G2368" s="1"/>
    </row>
    <row r="2369" spans="1:7" ht="15" customHeight="1">
      <c r="A2369" s="626"/>
      <c r="B2369" s="627" t="s">
        <v>274</v>
      </c>
      <c r="C2369" s="628"/>
      <c r="D2369" s="628"/>
      <c r="E2369" s="629" t="s">
        <v>275</v>
      </c>
      <c r="F2369" s="631">
        <f>ROUND(F2368*'Coef. resumen'!$F$23, 2)</f>
        <v>76.19</v>
      </c>
    </row>
    <row r="2370" spans="1:7" ht="15" customHeight="1" thickBot="1">
      <c r="A2370" s="626"/>
      <c r="B2370" s="627"/>
      <c r="C2370" s="628"/>
      <c r="D2370" s="628"/>
      <c r="E2370" s="630"/>
      <c r="F2370" s="632"/>
    </row>
    <row r="2371" spans="1:7" ht="15">
      <c r="A2371" s="471"/>
      <c r="B2371" s="2"/>
      <c r="C2371" s="402"/>
      <c r="D2371" s="402"/>
      <c r="E2371" s="402"/>
      <c r="F2371" s="402"/>
    </row>
    <row r="2372" spans="1:7" ht="15">
      <c r="A2372" s="471"/>
      <c r="B2372" s="2"/>
      <c r="C2372" s="402"/>
      <c r="D2372" s="402"/>
      <c r="E2372" s="402"/>
      <c r="F2372" s="402"/>
    </row>
    <row r="2373" spans="1:7" ht="15">
      <c r="A2373" s="471"/>
      <c r="B2373" s="194" t="str">
        <f>'Coef. resumen'!$B$30</f>
        <v>Julián Antonelli</v>
      </c>
      <c r="C2373" s="524"/>
      <c r="D2373" s="524"/>
      <c r="E2373" s="194" t="str">
        <f>'Coef. resumen'!$E$30</f>
        <v>Marcelo A. Pasquini</v>
      </c>
      <c r="F2373" s="402"/>
    </row>
    <row r="2374" spans="1:7" ht="15">
      <c r="A2374" s="471"/>
      <c r="B2374" s="194" t="str">
        <f>'Coef. resumen'!$B$31</f>
        <v>Ing. Civil M.P. 2161</v>
      </c>
      <c r="C2374" s="524"/>
      <c r="D2374" s="524"/>
      <c r="E2374" s="194" t="str">
        <f>'Coef. resumen'!$E$31</f>
        <v>Socio Gerente</v>
      </c>
      <c r="F2374" s="402"/>
    </row>
    <row r="2375" spans="1:7" ht="15">
      <c r="A2375" s="471"/>
      <c r="B2375" s="194" t="str">
        <f>'Coef. resumen'!$B$32</f>
        <v>Representante Técnico</v>
      </c>
      <c r="C2375" s="524"/>
      <c r="D2375" s="19"/>
      <c r="E2375" s="194" t="str">
        <f>'Coef. resumen'!$E$32</f>
        <v>Pasquini Construcciones SRL</v>
      </c>
      <c r="F2375" s="402"/>
    </row>
    <row r="2376" spans="1:7" ht="15">
      <c r="A2376" s="471"/>
      <c r="B2376" s="194"/>
      <c r="C2376" s="402"/>
      <c r="D2376" s="19"/>
      <c r="E2376" s="194"/>
      <c r="F2376" s="402"/>
    </row>
    <row r="2377" spans="1:7" ht="14.1" customHeight="1">
      <c r="A2377" s="477" t="s">
        <v>142</v>
      </c>
      <c r="B2377" s="613" t="str">
        <f>Presupuesto!B94</f>
        <v xml:space="preserve">Movimiento de suelo - Relleno </v>
      </c>
      <c r="C2377" s="614"/>
      <c r="D2377" s="615"/>
      <c r="E2377" s="367" t="s">
        <v>143</v>
      </c>
      <c r="F2377" s="30" t="str">
        <f>Presupuesto!C94</f>
        <v>m3</v>
      </c>
      <c r="G2377" s="1"/>
    </row>
    <row r="2378" spans="1:7" ht="14.1" customHeight="1">
      <c r="A2378" s="622" t="str">
        <f>Presupuesto!A94</f>
        <v>3.1.2</v>
      </c>
      <c r="B2378" s="616"/>
      <c r="C2378" s="617"/>
      <c r="D2378" s="618"/>
      <c r="E2378" s="367"/>
      <c r="F2378" s="367"/>
      <c r="G2378" s="1"/>
    </row>
    <row r="2379" spans="1:7" ht="14.1" customHeight="1">
      <c r="A2379" s="622"/>
      <c r="B2379" s="616"/>
      <c r="C2379" s="617"/>
      <c r="D2379" s="618"/>
      <c r="E2379" s="367"/>
      <c r="F2379" s="367"/>
      <c r="G2379" s="1"/>
    </row>
    <row r="2380" spans="1:7" ht="14.1" customHeight="1">
      <c r="A2380" s="623"/>
      <c r="B2380" s="619"/>
      <c r="C2380" s="620"/>
      <c r="D2380" s="621"/>
      <c r="E2380" s="367"/>
      <c r="F2380" s="367"/>
      <c r="G2380" s="1"/>
    </row>
    <row r="2381" spans="1:7" ht="14.1" customHeight="1">
      <c r="A2381" s="478"/>
      <c r="B2381" s="29"/>
      <c r="C2381" s="368"/>
      <c r="D2381" s="368"/>
      <c r="E2381" s="365"/>
      <c r="F2381" s="365"/>
      <c r="G2381" s="1"/>
    </row>
    <row r="2382" spans="1:7" ht="14.1" customHeight="1">
      <c r="A2382" s="624" t="s">
        <v>144</v>
      </c>
      <c r="B2382" s="624"/>
      <c r="C2382" s="624"/>
      <c r="D2382" s="624"/>
      <c r="E2382" s="624"/>
      <c r="F2382" s="624"/>
      <c r="G2382" s="1"/>
    </row>
    <row r="2383" spans="1:7" ht="14.1" customHeight="1">
      <c r="A2383" s="479"/>
      <c r="B2383" s="10"/>
      <c r="C2383" s="400"/>
      <c r="D2383" s="400"/>
      <c r="E2383" s="400"/>
      <c r="F2383" s="400"/>
      <c r="G2383" s="1"/>
    </row>
    <row r="2384" spans="1:7" ht="15.95" customHeight="1">
      <c r="A2384" s="480" t="s">
        <v>145</v>
      </c>
      <c r="B2384" s="11" t="s">
        <v>146</v>
      </c>
      <c r="C2384" s="11" t="s">
        <v>147</v>
      </c>
      <c r="D2384" s="11" t="s">
        <v>148</v>
      </c>
      <c r="E2384" s="12" t="s">
        <v>149</v>
      </c>
      <c r="F2384" s="11" t="s">
        <v>150</v>
      </c>
      <c r="G2384" s="1"/>
    </row>
    <row r="2385" spans="1:7" ht="14.1" customHeight="1">
      <c r="A2385" s="480">
        <v>1</v>
      </c>
      <c r="B2385" s="384" t="s">
        <v>1183</v>
      </c>
      <c r="C2385" s="305" t="s">
        <v>1026</v>
      </c>
      <c r="D2385" s="385">
        <v>1</v>
      </c>
      <c r="E2385" s="18">
        <v>0.5</v>
      </c>
      <c r="F2385" s="375">
        <f>ROUND(D2385*E2385, 2)</f>
        <v>0.5</v>
      </c>
      <c r="G2385" s="1"/>
    </row>
    <row r="2386" spans="1:7" ht="14.1" customHeight="1">
      <c r="A2386" s="480">
        <v>2</v>
      </c>
      <c r="B2386" s="301" t="s">
        <v>324</v>
      </c>
      <c r="C2386" s="305" t="s">
        <v>325</v>
      </c>
      <c r="D2386" s="221">
        <v>0.01</v>
      </c>
      <c r="E2386" s="18">
        <f>Equipos!S$21</f>
        <v>236.27157024793388</v>
      </c>
      <c r="F2386" s="375">
        <f t="shared" ref="F2386:F2396" si="119">ROUND(D2386*E2386, 2)</f>
        <v>2.36</v>
      </c>
      <c r="G2386" s="1"/>
    </row>
    <row r="2387" spans="1:7" ht="14.1" customHeight="1">
      <c r="A2387" s="480">
        <v>3</v>
      </c>
      <c r="B2387" s="301" t="s">
        <v>1245</v>
      </c>
      <c r="C2387" s="305" t="s">
        <v>325</v>
      </c>
      <c r="D2387" s="221">
        <v>0.01</v>
      </c>
      <c r="E2387" s="18">
        <f>Equipos!S$20</f>
        <v>132.98876033057851</v>
      </c>
      <c r="F2387" s="375">
        <f t="shared" si="119"/>
        <v>1.33</v>
      </c>
      <c r="G2387" s="1"/>
    </row>
    <row r="2388" spans="1:7" ht="14.1" customHeight="1">
      <c r="A2388" s="480">
        <v>4</v>
      </c>
      <c r="B2388" s="301" t="s">
        <v>326</v>
      </c>
      <c r="C2388" s="305" t="s">
        <v>325</v>
      </c>
      <c r="D2388" s="221">
        <v>0.01</v>
      </c>
      <c r="E2388" s="18">
        <f>Equipos!S$19</f>
        <v>256.28945454545453</v>
      </c>
      <c r="F2388" s="375">
        <f t="shared" si="119"/>
        <v>2.56</v>
      </c>
      <c r="G2388" s="1"/>
    </row>
    <row r="2389" spans="1:7" ht="14.1" customHeight="1">
      <c r="A2389" s="480">
        <v>5</v>
      </c>
      <c r="B2389" s="301" t="s">
        <v>327</v>
      </c>
      <c r="C2389" s="305" t="s">
        <v>325</v>
      </c>
      <c r="D2389" s="221">
        <v>0.03</v>
      </c>
      <c r="E2389" s="18">
        <f>Equipos!S$24</f>
        <v>302.32601652892561</v>
      </c>
      <c r="F2389" s="375">
        <f t="shared" si="119"/>
        <v>9.07</v>
      </c>
      <c r="G2389" s="1"/>
    </row>
    <row r="2390" spans="1:7" ht="14.1" customHeight="1">
      <c r="A2390" s="480">
        <v>6</v>
      </c>
      <c r="B2390" s="301" t="s">
        <v>1185</v>
      </c>
      <c r="C2390" s="305" t="s">
        <v>325</v>
      </c>
      <c r="D2390" s="385">
        <v>0.02</v>
      </c>
      <c r="E2390" s="18">
        <f>Equipos!S$28</f>
        <v>3.9899999999999998</v>
      </c>
      <c r="F2390" s="375">
        <f t="shared" si="119"/>
        <v>0.08</v>
      </c>
      <c r="G2390" s="1"/>
    </row>
    <row r="2391" spans="1:7" ht="14.1" customHeight="1">
      <c r="A2391" s="480">
        <v>7</v>
      </c>
      <c r="B2391" s="301" t="s">
        <v>1186</v>
      </c>
      <c r="C2391" s="305" t="s">
        <v>325</v>
      </c>
      <c r="D2391" s="385">
        <v>0.01</v>
      </c>
      <c r="E2391" s="18">
        <f>Equipos!S$26</f>
        <v>81.878033057851241</v>
      </c>
      <c r="F2391" s="375">
        <f t="shared" si="119"/>
        <v>0.82</v>
      </c>
      <c r="G2391" s="1"/>
    </row>
    <row r="2392" spans="1:7" ht="14.1" customHeight="1">
      <c r="A2392" s="480">
        <v>8</v>
      </c>
      <c r="B2392" s="301" t="s">
        <v>1187</v>
      </c>
      <c r="C2392" s="399" t="s">
        <v>325</v>
      </c>
      <c r="D2392" s="385">
        <v>0.01</v>
      </c>
      <c r="E2392" s="18">
        <f>Equipos!S$30</f>
        <v>122.42876033057851</v>
      </c>
      <c r="F2392" s="375">
        <f t="shared" si="119"/>
        <v>1.22</v>
      </c>
      <c r="G2392" s="1"/>
    </row>
    <row r="2393" spans="1:7" ht="14.1" customHeight="1">
      <c r="A2393" s="480">
        <v>9</v>
      </c>
      <c r="B2393" s="301" t="s">
        <v>1189</v>
      </c>
      <c r="C2393" s="465" t="s">
        <v>53</v>
      </c>
      <c r="D2393" s="224">
        <v>1</v>
      </c>
      <c r="E2393" s="18">
        <f>'MAT 31-10-2013'!R7</f>
        <v>39.059027777777771</v>
      </c>
      <c r="F2393" s="375">
        <f t="shared" si="119"/>
        <v>39.06</v>
      </c>
      <c r="G2393" s="1"/>
    </row>
    <row r="2394" spans="1:7" ht="14.1" customHeight="1">
      <c r="A2394" s="480">
        <v>10</v>
      </c>
      <c r="B2394" s="13"/>
      <c r="C2394" s="11"/>
      <c r="D2394" s="14"/>
      <c r="E2394" s="18"/>
      <c r="F2394" s="375">
        <f t="shared" si="119"/>
        <v>0</v>
      </c>
      <c r="G2394" s="1"/>
    </row>
    <row r="2395" spans="1:7" ht="14.1" customHeight="1">
      <c r="A2395" s="480">
        <v>11</v>
      </c>
      <c r="B2395" s="13"/>
      <c r="C2395" s="11"/>
      <c r="D2395" s="11"/>
      <c r="E2395" s="18"/>
      <c r="F2395" s="375">
        <f t="shared" si="119"/>
        <v>0</v>
      </c>
      <c r="G2395" s="1"/>
    </row>
    <row r="2396" spans="1:7" ht="14.1" customHeight="1" thickBot="1">
      <c r="A2396" s="480">
        <v>12</v>
      </c>
      <c r="B2396" s="13"/>
      <c r="C2396" s="11"/>
      <c r="D2396" s="11"/>
      <c r="E2396" s="18"/>
      <c r="F2396" s="375">
        <f t="shared" si="119"/>
        <v>0</v>
      </c>
      <c r="G2396" s="1"/>
    </row>
    <row r="2397" spans="1:7" ht="14.1" customHeight="1" thickBot="1">
      <c r="A2397" s="481"/>
      <c r="B2397" s="5"/>
      <c r="C2397" s="367"/>
      <c r="D2397" s="367"/>
      <c r="E2397" s="367" t="s">
        <v>151</v>
      </c>
      <c r="F2397" s="376">
        <f>SUM(F2385:F2396)</f>
        <v>57</v>
      </c>
      <c r="G2397" s="1"/>
    </row>
    <row r="2398" spans="1:7" ht="14.1" customHeight="1">
      <c r="A2398" s="482"/>
      <c r="B2398" s="398"/>
      <c r="C2398" s="401"/>
      <c r="D2398" s="401"/>
      <c r="E2398" s="401"/>
      <c r="F2398" s="401"/>
      <c r="G2398" s="1"/>
    </row>
    <row r="2399" spans="1:7" ht="14.1" customHeight="1">
      <c r="A2399" s="625" t="s">
        <v>152</v>
      </c>
      <c r="B2399" s="625"/>
      <c r="C2399" s="625"/>
      <c r="D2399" s="625"/>
      <c r="E2399" s="625"/>
      <c r="F2399" s="625"/>
      <c r="G2399" s="1"/>
    </row>
    <row r="2400" spans="1:7" ht="14.1" customHeight="1">
      <c r="A2400" s="482"/>
      <c r="B2400" s="398"/>
      <c r="C2400" s="401"/>
      <c r="D2400" s="401"/>
      <c r="E2400" s="401"/>
      <c r="F2400" s="367"/>
      <c r="G2400" s="1"/>
    </row>
    <row r="2401" spans="1:7" ht="14.1" customHeight="1">
      <c r="A2401" s="480">
        <v>13</v>
      </c>
      <c r="B2401" s="17" t="s">
        <v>153</v>
      </c>
      <c r="C2401" s="11" t="s">
        <v>154</v>
      </c>
      <c r="D2401" s="14">
        <f>SUM(D2386:D2392)</f>
        <v>9.9999999999999992E-2</v>
      </c>
      <c r="E2401" s="18">
        <f>'Mano de obra'!$J$20</f>
        <v>82.610000000000014</v>
      </c>
      <c r="F2401" s="375">
        <f>ROUND(D2401*E2401, 2)</f>
        <v>8.26</v>
      </c>
      <c r="G2401" s="1"/>
    </row>
    <row r="2402" spans="1:7" ht="14.1" customHeight="1">
      <c r="A2402" s="480">
        <v>14</v>
      </c>
      <c r="B2402" s="17" t="s">
        <v>155</v>
      </c>
      <c r="C2402" s="11" t="s">
        <v>154</v>
      </c>
      <c r="D2402" s="14"/>
      <c r="E2402" s="18">
        <f>'Mano de obra'!$J$21</f>
        <v>70.38</v>
      </c>
      <c r="F2402" s="375">
        <f t="shared" ref="F2402:F2405" si="120">ROUND(D2402*E2402, 2)</f>
        <v>0</v>
      </c>
      <c r="G2402" s="1"/>
    </row>
    <row r="2403" spans="1:7" ht="14.1" customHeight="1">
      <c r="A2403" s="480">
        <v>15</v>
      </c>
      <c r="B2403" s="17" t="s">
        <v>156</v>
      </c>
      <c r="C2403" s="11" t="s">
        <v>154</v>
      </c>
      <c r="D2403" s="14"/>
      <c r="E2403" s="18">
        <f>'Mano de obra'!$J$22</f>
        <v>64.78</v>
      </c>
      <c r="F2403" s="375">
        <f t="shared" si="120"/>
        <v>0</v>
      </c>
      <c r="G2403" s="1"/>
    </row>
    <row r="2404" spans="1:7" ht="14.1" customHeight="1">
      <c r="A2404" s="480">
        <v>16</v>
      </c>
      <c r="B2404" s="17" t="s">
        <v>157</v>
      </c>
      <c r="C2404" s="11" t="s">
        <v>154</v>
      </c>
      <c r="D2404" s="14">
        <v>0.1</v>
      </c>
      <c r="E2404" s="18">
        <f>'Mano de obra'!$J$23</f>
        <v>59.800000000000004</v>
      </c>
      <c r="F2404" s="375">
        <f t="shared" si="120"/>
        <v>5.98</v>
      </c>
      <c r="G2404" s="1"/>
    </row>
    <row r="2405" spans="1:7" ht="14.1" customHeight="1" thickBot="1">
      <c r="A2405" s="480">
        <v>17</v>
      </c>
      <c r="B2405" s="13"/>
      <c r="C2405" s="11"/>
      <c r="D2405" s="11"/>
      <c r="E2405" s="18"/>
      <c r="F2405" s="375">
        <f t="shared" si="120"/>
        <v>0</v>
      </c>
      <c r="G2405" s="1"/>
    </row>
    <row r="2406" spans="1:7" ht="14.1" customHeight="1" thickBot="1">
      <c r="A2406" s="483"/>
      <c r="B2406" s="398"/>
      <c r="C2406" s="401"/>
      <c r="D2406" s="401"/>
      <c r="E2406" s="367" t="s">
        <v>158</v>
      </c>
      <c r="F2406" s="376">
        <f>SUM(F2401:F2405)</f>
        <v>14.24</v>
      </c>
      <c r="G2406" s="1"/>
    </row>
    <row r="2407" spans="1:7" ht="14.1" customHeight="1" thickBot="1">
      <c r="A2407" s="484"/>
      <c r="B2407" s="398"/>
      <c r="C2407" s="401"/>
      <c r="D2407" s="401"/>
      <c r="E2407" s="401"/>
      <c r="F2407" s="367"/>
      <c r="G2407" s="1"/>
    </row>
    <row r="2408" spans="1:7" ht="14.1" customHeight="1" thickBot="1">
      <c r="A2408" s="480"/>
      <c r="B2408" s="142" t="s">
        <v>273</v>
      </c>
      <c r="C2408" s="369"/>
      <c r="D2408" s="369"/>
      <c r="E2408" s="377" t="s">
        <v>159</v>
      </c>
      <c r="F2408" s="376">
        <f>SUM(F2397+F2406)</f>
        <v>71.239999999999995</v>
      </c>
      <c r="G2408" s="1"/>
    </row>
    <row r="2409" spans="1:7" ht="15" customHeight="1">
      <c r="A2409" s="626"/>
      <c r="B2409" s="627" t="s">
        <v>274</v>
      </c>
      <c r="C2409" s="628"/>
      <c r="D2409" s="628"/>
      <c r="E2409" s="629" t="s">
        <v>275</v>
      </c>
      <c r="F2409" s="631">
        <f>ROUND(F2408*'Coef. resumen'!$F$23, 2)</f>
        <v>105.58</v>
      </c>
    </row>
    <row r="2410" spans="1:7" ht="15" customHeight="1" thickBot="1">
      <c r="A2410" s="626"/>
      <c r="B2410" s="627"/>
      <c r="C2410" s="628"/>
      <c r="D2410" s="628"/>
      <c r="E2410" s="630"/>
      <c r="F2410" s="632"/>
    </row>
    <row r="2411" spans="1:7" ht="15">
      <c r="A2411" s="471"/>
      <c r="B2411" s="2"/>
      <c r="C2411" s="402"/>
      <c r="D2411" s="402"/>
      <c r="E2411" s="402"/>
      <c r="F2411" s="402"/>
    </row>
    <row r="2412" spans="1:7" ht="15">
      <c r="A2412" s="471"/>
      <c r="B2412" s="2"/>
      <c r="C2412" s="402"/>
      <c r="D2412" s="402"/>
      <c r="E2412" s="402"/>
      <c r="F2412" s="402"/>
    </row>
    <row r="2413" spans="1:7" ht="15">
      <c r="A2413" s="471"/>
      <c r="B2413" s="194" t="str">
        <f>'Coef. resumen'!$B$30</f>
        <v>Julián Antonelli</v>
      </c>
      <c r="C2413" s="524"/>
      <c r="D2413" s="524"/>
      <c r="E2413" s="194" t="str">
        <f>'Coef. resumen'!$E$30</f>
        <v>Marcelo A. Pasquini</v>
      </c>
      <c r="F2413" s="402"/>
    </row>
    <row r="2414" spans="1:7" ht="15">
      <c r="A2414" s="471"/>
      <c r="B2414" s="194" t="str">
        <f>'Coef. resumen'!$B$31</f>
        <v>Ing. Civil M.P. 2161</v>
      </c>
      <c r="C2414" s="524"/>
      <c r="D2414" s="524"/>
      <c r="E2414" s="194" t="str">
        <f>'Coef. resumen'!$E$31</f>
        <v>Socio Gerente</v>
      </c>
      <c r="F2414" s="402"/>
    </row>
    <row r="2415" spans="1:7" ht="15">
      <c r="A2415" s="471"/>
      <c r="B2415" s="194" t="str">
        <f>'Coef. resumen'!$B$32</f>
        <v>Representante Técnico</v>
      </c>
      <c r="C2415" s="524"/>
      <c r="D2415" s="19"/>
      <c r="E2415" s="194" t="str">
        <f>'Coef. resumen'!$E$32</f>
        <v>Pasquini Construcciones SRL</v>
      </c>
      <c r="F2415" s="402"/>
    </row>
    <row r="2416" spans="1:7" ht="15">
      <c r="A2416" s="471"/>
      <c r="B2416" s="194"/>
      <c r="C2416" s="402"/>
      <c r="D2416" s="19"/>
      <c r="E2416" s="194"/>
      <c r="F2416" s="402"/>
    </row>
    <row r="2417" spans="1:7" ht="14.1" customHeight="1">
      <c r="A2417" s="477" t="s">
        <v>142</v>
      </c>
      <c r="B2417" s="613" t="str">
        <f>Presupuesto!B96</f>
        <v>Nivelación y enripiado</v>
      </c>
      <c r="C2417" s="614"/>
      <c r="D2417" s="615"/>
      <c r="E2417" s="367" t="s">
        <v>143</v>
      </c>
      <c r="F2417" s="30" t="str">
        <f>Presupuesto!C96</f>
        <v>m2</v>
      </c>
      <c r="G2417" s="1"/>
    </row>
    <row r="2418" spans="1:7" ht="14.1" customHeight="1">
      <c r="A2418" s="622" t="str">
        <f>Presupuesto!A96</f>
        <v>3.2.1</v>
      </c>
      <c r="B2418" s="616"/>
      <c r="C2418" s="617"/>
      <c r="D2418" s="618"/>
      <c r="E2418" s="367"/>
      <c r="F2418" s="367"/>
      <c r="G2418" s="1"/>
    </row>
    <row r="2419" spans="1:7" ht="14.1" customHeight="1">
      <c r="A2419" s="622"/>
      <c r="B2419" s="616"/>
      <c r="C2419" s="617"/>
      <c r="D2419" s="618"/>
      <c r="E2419" s="367"/>
      <c r="F2419" s="367"/>
      <c r="G2419" s="1"/>
    </row>
    <row r="2420" spans="1:7" ht="14.1" customHeight="1">
      <c r="A2420" s="623"/>
      <c r="B2420" s="619"/>
      <c r="C2420" s="620"/>
      <c r="D2420" s="621"/>
      <c r="E2420" s="367"/>
      <c r="F2420" s="367"/>
      <c r="G2420" s="1"/>
    </row>
    <row r="2421" spans="1:7" ht="14.1" customHeight="1">
      <c r="A2421" s="478"/>
      <c r="B2421" s="29"/>
      <c r="C2421" s="368"/>
      <c r="D2421" s="368"/>
      <c r="E2421" s="365"/>
      <c r="F2421" s="365"/>
      <c r="G2421" s="1"/>
    </row>
    <row r="2422" spans="1:7" ht="14.1" customHeight="1">
      <c r="A2422" s="624" t="s">
        <v>144</v>
      </c>
      <c r="B2422" s="624"/>
      <c r="C2422" s="624"/>
      <c r="D2422" s="624"/>
      <c r="E2422" s="624"/>
      <c r="F2422" s="624"/>
      <c r="G2422" s="1"/>
    </row>
    <row r="2423" spans="1:7" ht="14.1" customHeight="1">
      <c r="A2423" s="479"/>
      <c r="B2423" s="10"/>
      <c r="C2423" s="400"/>
      <c r="D2423" s="400"/>
      <c r="E2423" s="400"/>
      <c r="F2423" s="400"/>
      <c r="G2423" s="1"/>
    </row>
    <row r="2424" spans="1:7" ht="15.95" customHeight="1">
      <c r="A2424" s="480" t="s">
        <v>145</v>
      </c>
      <c r="B2424" s="11" t="s">
        <v>146</v>
      </c>
      <c r="C2424" s="11" t="s">
        <v>147</v>
      </c>
      <c r="D2424" s="11" t="s">
        <v>148</v>
      </c>
      <c r="E2424" s="12" t="s">
        <v>149</v>
      </c>
      <c r="F2424" s="11" t="s">
        <v>150</v>
      </c>
      <c r="G2424" s="1"/>
    </row>
    <row r="2425" spans="1:7" ht="14.1" customHeight="1">
      <c r="A2425" s="480">
        <v>1</v>
      </c>
      <c r="B2425" s="301" t="s">
        <v>1189</v>
      </c>
      <c r="C2425" s="305" t="s">
        <v>53</v>
      </c>
      <c r="D2425" s="385">
        <v>0.15</v>
      </c>
      <c r="E2425" s="18">
        <f>'MAT 31-10-2013'!R7</f>
        <v>39.059027777777771</v>
      </c>
      <c r="F2425" s="375">
        <f>ROUND(D2425*E2425, 2)</f>
        <v>5.86</v>
      </c>
      <c r="G2425" s="1"/>
    </row>
    <row r="2426" spans="1:7" ht="14.1" customHeight="1">
      <c r="A2426" s="480">
        <v>2</v>
      </c>
      <c r="B2426" s="301" t="s">
        <v>1188</v>
      </c>
      <c r="C2426" s="305" t="s">
        <v>1026</v>
      </c>
      <c r="D2426" s="221">
        <v>1</v>
      </c>
      <c r="E2426" s="18">
        <v>0.5</v>
      </c>
      <c r="F2426" s="375">
        <f t="shared" ref="F2426:F2436" si="121">ROUND(D2426*E2426, 2)</f>
        <v>0.5</v>
      </c>
      <c r="G2426" s="1"/>
    </row>
    <row r="2427" spans="1:7" ht="14.1" customHeight="1">
      <c r="A2427" s="480">
        <v>3</v>
      </c>
      <c r="B2427" s="301" t="s">
        <v>1245</v>
      </c>
      <c r="C2427" s="305" t="s">
        <v>325</v>
      </c>
      <c r="D2427" s="221">
        <v>0.02</v>
      </c>
      <c r="E2427" s="18">
        <f>Equipos!S$20</f>
        <v>132.98876033057851</v>
      </c>
      <c r="F2427" s="375">
        <f t="shared" si="121"/>
        <v>2.66</v>
      </c>
      <c r="G2427" s="1"/>
    </row>
    <row r="2428" spans="1:7" ht="14.1" customHeight="1">
      <c r="A2428" s="480">
        <v>4</v>
      </c>
      <c r="B2428" s="301" t="s">
        <v>326</v>
      </c>
      <c r="C2428" s="305" t="s">
        <v>325</v>
      </c>
      <c r="D2428" s="221">
        <v>0.02</v>
      </c>
      <c r="E2428" s="18">
        <f>Equipos!S$19</f>
        <v>256.28945454545453</v>
      </c>
      <c r="F2428" s="375">
        <f t="shared" si="121"/>
        <v>5.13</v>
      </c>
      <c r="G2428" s="1"/>
    </row>
    <row r="2429" spans="1:7" ht="14.1" customHeight="1">
      <c r="A2429" s="480">
        <v>5</v>
      </c>
      <c r="B2429" s="301" t="s">
        <v>327</v>
      </c>
      <c r="C2429" s="305" t="s">
        <v>325</v>
      </c>
      <c r="D2429" s="221">
        <v>0.01</v>
      </c>
      <c r="E2429" s="18">
        <f>Equipos!S$24</f>
        <v>302.32601652892561</v>
      </c>
      <c r="F2429" s="375">
        <f t="shared" si="121"/>
        <v>3.02</v>
      </c>
      <c r="G2429" s="1"/>
    </row>
    <row r="2430" spans="1:7" ht="14.1" customHeight="1">
      <c r="A2430" s="480">
        <v>6</v>
      </c>
      <c r="B2430" s="301" t="s">
        <v>1185</v>
      </c>
      <c r="C2430" s="305" t="s">
        <v>325</v>
      </c>
      <c r="D2430" s="385">
        <v>0.02</v>
      </c>
      <c r="E2430" s="18">
        <f>Equipos!S$28</f>
        <v>3.9899999999999998</v>
      </c>
      <c r="F2430" s="375">
        <f t="shared" si="121"/>
        <v>0.08</v>
      </c>
      <c r="G2430" s="1"/>
    </row>
    <row r="2431" spans="1:7" ht="14.1" customHeight="1">
      <c r="A2431" s="480">
        <v>7</v>
      </c>
      <c r="B2431" s="301" t="s">
        <v>1186</v>
      </c>
      <c r="C2431" s="305" t="s">
        <v>325</v>
      </c>
      <c r="D2431" s="385">
        <v>0.01</v>
      </c>
      <c r="E2431" s="18">
        <f>Equipos!S$26</f>
        <v>81.878033057851241</v>
      </c>
      <c r="F2431" s="375">
        <f t="shared" si="121"/>
        <v>0.82</v>
      </c>
      <c r="G2431" s="1"/>
    </row>
    <row r="2432" spans="1:7" ht="14.1" customHeight="1">
      <c r="A2432" s="480">
        <v>8</v>
      </c>
      <c r="B2432" s="301" t="s">
        <v>258</v>
      </c>
      <c r="C2432" s="305" t="s">
        <v>325</v>
      </c>
      <c r="D2432" s="385">
        <v>0.01</v>
      </c>
      <c r="E2432" s="18">
        <f>Equipos!S$30</f>
        <v>122.42876033057851</v>
      </c>
      <c r="F2432" s="375">
        <f t="shared" si="121"/>
        <v>1.22</v>
      </c>
      <c r="G2432" s="1"/>
    </row>
    <row r="2433" spans="1:7" ht="14.1" customHeight="1">
      <c r="A2433" s="480">
        <v>9</v>
      </c>
      <c r="B2433" s="220"/>
      <c r="C2433" s="399"/>
      <c r="D2433" s="224"/>
      <c r="E2433" s="18"/>
      <c r="F2433" s="375">
        <f t="shared" si="121"/>
        <v>0</v>
      </c>
      <c r="G2433" s="1"/>
    </row>
    <row r="2434" spans="1:7" ht="14.1" customHeight="1">
      <c r="A2434" s="480">
        <v>10</v>
      </c>
      <c r="B2434" s="13"/>
      <c r="C2434" s="11"/>
      <c r="D2434" s="14"/>
      <c r="E2434" s="18"/>
      <c r="F2434" s="375">
        <f t="shared" si="121"/>
        <v>0</v>
      </c>
      <c r="G2434" s="1"/>
    </row>
    <row r="2435" spans="1:7" ht="14.1" customHeight="1">
      <c r="A2435" s="480">
        <v>11</v>
      </c>
      <c r="B2435" s="13"/>
      <c r="C2435" s="11"/>
      <c r="D2435" s="11"/>
      <c r="E2435" s="18"/>
      <c r="F2435" s="375">
        <f t="shared" si="121"/>
        <v>0</v>
      </c>
      <c r="G2435" s="1"/>
    </row>
    <row r="2436" spans="1:7" ht="14.1" customHeight="1" thickBot="1">
      <c r="A2436" s="480">
        <v>12</v>
      </c>
      <c r="B2436" s="13"/>
      <c r="C2436" s="11"/>
      <c r="D2436" s="11"/>
      <c r="E2436" s="18"/>
      <c r="F2436" s="375">
        <f t="shared" si="121"/>
        <v>0</v>
      </c>
      <c r="G2436" s="1"/>
    </row>
    <row r="2437" spans="1:7" ht="14.1" customHeight="1" thickBot="1">
      <c r="A2437" s="481"/>
      <c r="B2437" s="5"/>
      <c r="C2437" s="367"/>
      <c r="D2437" s="367"/>
      <c r="E2437" s="367" t="s">
        <v>151</v>
      </c>
      <c r="F2437" s="376">
        <f>SUM(F2425:F2436)</f>
        <v>19.289999999999996</v>
      </c>
      <c r="G2437" s="1"/>
    </row>
    <row r="2438" spans="1:7" ht="14.1" customHeight="1">
      <c r="A2438" s="482"/>
      <c r="B2438" s="398"/>
      <c r="C2438" s="401"/>
      <c r="D2438" s="401"/>
      <c r="E2438" s="401"/>
      <c r="F2438" s="401"/>
      <c r="G2438" s="1"/>
    </row>
    <row r="2439" spans="1:7" ht="14.1" customHeight="1">
      <c r="A2439" s="625" t="s">
        <v>152</v>
      </c>
      <c r="B2439" s="625"/>
      <c r="C2439" s="625"/>
      <c r="D2439" s="625"/>
      <c r="E2439" s="625"/>
      <c r="F2439" s="625"/>
      <c r="G2439" s="1"/>
    </row>
    <row r="2440" spans="1:7" ht="14.1" customHeight="1">
      <c r="A2440" s="482"/>
      <c r="B2440" s="398"/>
      <c r="C2440" s="401"/>
      <c r="D2440" s="401"/>
      <c r="E2440" s="401"/>
      <c r="F2440" s="367"/>
      <c r="G2440" s="1"/>
    </row>
    <row r="2441" spans="1:7" ht="14.1" customHeight="1">
      <c r="A2441" s="480">
        <v>13</v>
      </c>
      <c r="B2441" s="17" t="s">
        <v>153</v>
      </c>
      <c r="C2441" s="11" t="s">
        <v>154</v>
      </c>
      <c r="D2441" s="14">
        <f>SUM(D2427:D2432)</f>
        <v>0.09</v>
      </c>
      <c r="E2441" s="18">
        <f>'Mano de obra'!$J$20</f>
        <v>82.610000000000014</v>
      </c>
      <c r="F2441" s="375">
        <f>ROUND(D2441*E2441, 2)</f>
        <v>7.43</v>
      </c>
      <c r="G2441" s="1"/>
    </row>
    <row r="2442" spans="1:7" ht="14.1" customHeight="1">
      <c r="A2442" s="480">
        <v>14</v>
      </c>
      <c r="B2442" s="17" t="s">
        <v>155</v>
      </c>
      <c r="C2442" s="11" t="s">
        <v>154</v>
      </c>
      <c r="D2442" s="14"/>
      <c r="E2442" s="18">
        <f>'Mano de obra'!$J$21</f>
        <v>70.38</v>
      </c>
      <c r="F2442" s="375">
        <f t="shared" ref="F2442:F2445" si="122">ROUND(D2442*E2442, 2)</f>
        <v>0</v>
      </c>
      <c r="G2442" s="1"/>
    </row>
    <row r="2443" spans="1:7" ht="14.1" customHeight="1">
      <c r="A2443" s="480">
        <v>15</v>
      </c>
      <c r="B2443" s="17" t="s">
        <v>156</v>
      </c>
      <c r="C2443" s="11" t="s">
        <v>154</v>
      </c>
      <c r="D2443" s="14"/>
      <c r="E2443" s="18">
        <f>'Mano de obra'!$J$22</f>
        <v>64.78</v>
      </c>
      <c r="F2443" s="375">
        <f t="shared" si="122"/>
        <v>0</v>
      </c>
      <c r="G2443" s="1"/>
    </row>
    <row r="2444" spans="1:7" ht="14.1" customHeight="1">
      <c r="A2444" s="480">
        <v>16</v>
      </c>
      <c r="B2444" s="17" t="s">
        <v>157</v>
      </c>
      <c r="C2444" s="11" t="s">
        <v>154</v>
      </c>
      <c r="D2444" s="14">
        <f>D2441/2</f>
        <v>4.4999999999999998E-2</v>
      </c>
      <c r="E2444" s="18">
        <f>'Mano de obra'!$J$23</f>
        <v>59.800000000000004</v>
      </c>
      <c r="F2444" s="375">
        <f t="shared" si="122"/>
        <v>2.69</v>
      </c>
      <c r="G2444" s="1"/>
    </row>
    <row r="2445" spans="1:7" ht="14.1" customHeight="1" thickBot="1">
      <c r="A2445" s="480">
        <v>17</v>
      </c>
      <c r="B2445" s="13"/>
      <c r="C2445" s="11"/>
      <c r="D2445" s="11"/>
      <c r="E2445" s="18"/>
      <c r="F2445" s="375">
        <f t="shared" si="122"/>
        <v>0</v>
      </c>
      <c r="G2445" s="1"/>
    </row>
    <row r="2446" spans="1:7" ht="14.1" customHeight="1" thickBot="1">
      <c r="A2446" s="483"/>
      <c r="B2446" s="398"/>
      <c r="C2446" s="401"/>
      <c r="D2446" s="401"/>
      <c r="E2446" s="367" t="s">
        <v>158</v>
      </c>
      <c r="F2446" s="376">
        <f>SUM(F2441:F2445)</f>
        <v>10.119999999999999</v>
      </c>
      <c r="G2446" s="1"/>
    </row>
    <row r="2447" spans="1:7" ht="14.1" customHeight="1" thickBot="1">
      <c r="A2447" s="484"/>
      <c r="B2447" s="398"/>
      <c r="C2447" s="401"/>
      <c r="D2447" s="401"/>
      <c r="E2447" s="401"/>
      <c r="F2447" s="367"/>
      <c r="G2447" s="1"/>
    </row>
    <row r="2448" spans="1:7" ht="14.1" customHeight="1" thickBot="1">
      <c r="A2448" s="480"/>
      <c r="B2448" s="142" t="s">
        <v>273</v>
      </c>
      <c r="C2448" s="369"/>
      <c r="D2448" s="369"/>
      <c r="E2448" s="377" t="s">
        <v>159</v>
      </c>
      <c r="F2448" s="376">
        <f>SUM(F2437+F2446)</f>
        <v>29.409999999999997</v>
      </c>
      <c r="G2448" s="1"/>
    </row>
    <row r="2449" spans="1:7" ht="15" customHeight="1">
      <c r="A2449" s="626"/>
      <c r="B2449" s="627" t="s">
        <v>274</v>
      </c>
      <c r="C2449" s="628"/>
      <c r="D2449" s="628"/>
      <c r="E2449" s="629" t="s">
        <v>275</v>
      </c>
      <c r="F2449" s="631">
        <f>ROUND(F2448*'Coef. resumen'!$F$23, 2)</f>
        <v>43.59</v>
      </c>
    </row>
    <row r="2450" spans="1:7" ht="15" customHeight="1" thickBot="1">
      <c r="A2450" s="626"/>
      <c r="B2450" s="627"/>
      <c r="C2450" s="628"/>
      <c r="D2450" s="628"/>
      <c r="E2450" s="630"/>
      <c r="F2450" s="632"/>
    </row>
    <row r="2451" spans="1:7" ht="15">
      <c r="A2451" s="471"/>
      <c r="B2451" s="2"/>
      <c r="C2451" s="402"/>
      <c r="D2451" s="402"/>
      <c r="E2451" s="402"/>
      <c r="F2451" s="402"/>
    </row>
    <row r="2452" spans="1:7" ht="15">
      <c r="A2452" s="471"/>
      <c r="B2452" s="2"/>
      <c r="C2452" s="402"/>
      <c r="D2452" s="402"/>
      <c r="E2452" s="402"/>
      <c r="F2452" s="402"/>
    </row>
    <row r="2453" spans="1:7" ht="15">
      <c r="A2453" s="471"/>
      <c r="B2453" s="194" t="str">
        <f>'Coef. resumen'!$B$30</f>
        <v>Julián Antonelli</v>
      </c>
      <c r="C2453" s="524"/>
      <c r="D2453" s="524"/>
      <c r="E2453" s="194" t="str">
        <f>'Coef. resumen'!$E$30</f>
        <v>Marcelo A. Pasquini</v>
      </c>
      <c r="F2453" s="402"/>
    </row>
    <row r="2454" spans="1:7" ht="15">
      <c r="A2454" s="471"/>
      <c r="B2454" s="194" t="str">
        <f>'Coef. resumen'!$B$31</f>
        <v>Ing. Civil M.P. 2161</v>
      </c>
      <c r="C2454" s="524"/>
      <c r="D2454" s="524"/>
      <c r="E2454" s="194" t="str">
        <f>'Coef. resumen'!$E$31</f>
        <v>Socio Gerente</v>
      </c>
      <c r="F2454" s="402"/>
    </row>
    <row r="2455" spans="1:7" ht="15">
      <c r="A2455" s="471"/>
      <c r="B2455" s="194" t="str">
        <f>'Coef. resumen'!$B$32</f>
        <v>Representante Técnico</v>
      </c>
      <c r="C2455" s="524"/>
      <c r="D2455" s="19"/>
      <c r="E2455" s="194" t="str">
        <f>'Coef. resumen'!$E$32</f>
        <v>Pasquini Construcciones SRL</v>
      </c>
      <c r="F2455" s="402"/>
    </row>
    <row r="2456" spans="1:7" ht="15">
      <c r="A2456" s="471"/>
      <c r="B2456" s="194"/>
      <c r="C2456" s="402"/>
      <c r="D2456" s="19"/>
      <c r="E2456" s="194"/>
      <c r="F2456" s="402"/>
    </row>
    <row r="2457" spans="1:7" ht="14.1" customHeight="1">
      <c r="A2457" s="477" t="s">
        <v>142</v>
      </c>
      <c r="B2457" s="613" t="str">
        <f>Presupuesto!B99</f>
        <v>Excavación de zanja y tapado con protec mecánica</v>
      </c>
      <c r="C2457" s="614"/>
      <c r="D2457" s="615"/>
      <c r="E2457" s="367" t="s">
        <v>143</v>
      </c>
      <c r="F2457" s="30" t="str">
        <f>Presupuesto!C99</f>
        <v>ml</v>
      </c>
      <c r="G2457" s="1"/>
    </row>
    <row r="2458" spans="1:7" ht="14.1" customHeight="1">
      <c r="A2458" s="622" t="str">
        <f>Presupuesto!A99</f>
        <v>4.1.1</v>
      </c>
      <c r="B2458" s="616"/>
      <c r="C2458" s="617"/>
      <c r="D2458" s="618"/>
      <c r="E2458" s="367"/>
      <c r="F2458" s="367"/>
      <c r="G2458" s="1"/>
    </row>
    <row r="2459" spans="1:7" ht="14.1" customHeight="1">
      <c r="A2459" s="622"/>
      <c r="B2459" s="616"/>
      <c r="C2459" s="617"/>
      <c r="D2459" s="618"/>
      <c r="E2459" s="367"/>
      <c r="F2459" s="367"/>
      <c r="G2459" s="1"/>
    </row>
    <row r="2460" spans="1:7" ht="14.1" customHeight="1">
      <c r="A2460" s="623"/>
      <c r="B2460" s="619"/>
      <c r="C2460" s="620"/>
      <c r="D2460" s="621"/>
      <c r="E2460" s="367"/>
      <c r="F2460" s="367"/>
      <c r="G2460" s="1"/>
    </row>
    <row r="2461" spans="1:7" ht="14.1" customHeight="1">
      <c r="A2461" s="478"/>
      <c r="B2461" s="29"/>
      <c r="C2461" s="368"/>
      <c r="D2461" s="368"/>
      <c r="E2461" s="365"/>
      <c r="F2461" s="365"/>
      <c r="G2461" s="1"/>
    </row>
    <row r="2462" spans="1:7" ht="14.1" customHeight="1">
      <c r="A2462" s="624" t="s">
        <v>144</v>
      </c>
      <c r="B2462" s="624"/>
      <c r="C2462" s="624"/>
      <c r="D2462" s="624"/>
      <c r="E2462" s="624"/>
      <c r="F2462" s="624"/>
      <c r="G2462" s="1"/>
    </row>
    <row r="2463" spans="1:7" ht="14.1" customHeight="1">
      <c r="A2463" s="479"/>
      <c r="B2463" s="10"/>
      <c r="C2463" s="400"/>
      <c r="D2463" s="400"/>
      <c r="E2463" s="400"/>
      <c r="F2463" s="400"/>
      <c r="G2463" s="1"/>
    </row>
    <row r="2464" spans="1:7" ht="15.95" customHeight="1">
      <c r="A2464" s="480" t="s">
        <v>145</v>
      </c>
      <c r="B2464" s="11" t="s">
        <v>146</v>
      </c>
      <c r="C2464" s="11" t="s">
        <v>147</v>
      </c>
      <c r="D2464" s="11" t="s">
        <v>148</v>
      </c>
      <c r="E2464" s="12" t="s">
        <v>149</v>
      </c>
      <c r="F2464" s="11" t="s">
        <v>150</v>
      </c>
      <c r="G2464" s="1"/>
    </row>
    <row r="2465" spans="1:7" ht="14.1" customHeight="1">
      <c r="A2465" s="480">
        <v>1</v>
      </c>
      <c r="B2465" s="220" t="s">
        <v>322</v>
      </c>
      <c r="C2465" s="221" t="s">
        <v>11</v>
      </c>
      <c r="D2465" s="221">
        <v>1</v>
      </c>
      <c r="E2465" s="18">
        <f>5*0.4</f>
        <v>2</v>
      </c>
      <c r="F2465" s="375">
        <f>ROUND(D2465*E2465, 2)</f>
        <v>2</v>
      </c>
      <c r="G2465" s="1"/>
    </row>
    <row r="2466" spans="1:7" ht="14.1" customHeight="1">
      <c r="A2466" s="480">
        <v>2</v>
      </c>
      <c r="B2466" s="220" t="s">
        <v>328</v>
      </c>
      <c r="C2466" s="224" t="s">
        <v>53</v>
      </c>
      <c r="D2466" s="224">
        <f>0.2*0.2*1</f>
        <v>4.0000000000000008E-2</v>
      </c>
      <c r="E2466" s="18">
        <f>'MAT 31-10-2013'!R$5</f>
        <v>39.059027777777771</v>
      </c>
      <c r="F2466" s="375">
        <f t="shared" ref="F2466:F2476" si="123">ROUND(D2466*E2466, 2)</f>
        <v>1.56</v>
      </c>
      <c r="G2466" s="1"/>
    </row>
    <row r="2467" spans="1:7" ht="14.1" customHeight="1">
      <c r="A2467" s="480">
        <v>3</v>
      </c>
      <c r="B2467" s="220" t="s">
        <v>324</v>
      </c>
      <c r="C2467" s="399" t="s">
        <v>325</v>
      </c>
      <c r="D2467" s="224">
        <f>8/50*0.4</f>
        <v>6.4000000000000001E-2</v>
      </c>
      <c r="E2467" s="18">
        <f>Equipos!S$21</f>
        <v>236.27157024793388</v>
      </c>
      <c r="F2467" s="375">
        <f t="shared" si="123"/>
        <v>15.12</v>
      </c>
      <c r="G2467" s="1"/>
    </row>
    <row r="2468" spans="1:7" ht="14.1" customHeight="1">
      <c r="A2468" s="480">
        <v>4</v>
      </c>
      <c r="B2468" s="220" t="s">
        <v>1010</v>
      </c>
      <c r="C2468" s="399" t="s">
        <v>325</v>
      </c>
      <c r="D2468" s="224">
        <f>0.06*0.4</f>
        <v>2.4E-2</v>
      </c>
      <c r="E2468" s="18">
        <f>Equipos!S$20</f>
        <v>132.98876033057851</v>
      </c>
      <c r="F2468" s="375">
        <f t="shared" si="123"/>
        <v>3.19</v>
      </c>
      <c r="G2468" s="1"/>
    </row>
    <row r="2469" spans="1:7" ht="14.1" customHeight="1">
      <c r="A2469" s="480">
        <v>5</v>
      </c>
      <c r="B2469" s="220" t="s">
        <v>265</v>
      </c>
      <c r="C2469" s="399" t="s">
        <v>325</v>
      </c>
      <c r="D2469" s="224">
        <f>0.06*0.4</f>
        <v>2.4E-2</v>
      </c>
      <c r="E2469" s="18">
        <f>Equipos!S$36</f>
        <v>3.5183305785123968</v>
      </c>
      <c r="F2469" s="375">
        <f t="shared" si="123"/>
        <v>0.08</v>
      </c>
      <c r="G2469" s="1"/>
    </row>
    <row r="2470" spans="1:7" ht="14.1" customHeight="1">
      <c r="A2470" s="480">
        <v>6</v>
      </c>
      <c r="B2470" s="220" t="s">
        <v>326</v>
      </c>
      <c r="C2470" s="399" t="s">
        <v>325</v>
      </c>
      <c r="D2470" s="224">
        <f>0.08*0.4</f>
        <v>3.2000000000000001E-2</v>
      </c>
      <c r="E2470" s="18">
        <f>Equipos!S$19</f>
        <v>256.28945454545453</v>
      </c>
      <c r="F2470" s="375">
        <f t="shared" si="123"/>
        <v>8.1999999999999993</v>
      </c>
      <c r="G2470" s="1"/>
    </row>
    <row r="2471" spans="1:7" ht="14.1" customHeight="1">
      <c r="A2471" s="480">
        <v>7</v>
      </c>
      <c r="B2471" s="220" t="s">
        <v>327</v>
      </c>
      <c r="C2471" s="399" t="s">
        <v>325</v>
      </c>
      <c r="D2471" s="224">
        <f>0.02*0.4</f>
        <v>8.0000000000000002E-3</v>
      </c>
      <c r="E2471" s="18">
        <f>Equipos!S$24</f>
        <v>302.32601652892561</v>
      </c>
      <c r="F2471" s="375">
        <f t="shared" si="123"/>
        <v>2.42</v>
      </c>
      <c r="G2471" s="1"/>
    </row>
    <row r="2472" spans="1:7" ht="14.1" customHeight="1">
      <c r="A2472" s="480">
        <v>8</v>
      </c>
      <c r="B2472" s="220" t="s">
        <v>260</v>
      </c>
      <c r="C2472" s="399" t="s">
        <v>325</v>
      </c>
      <c r="D2472" s="224">
        <f>0.16*0.4</f>
        <v>6.4000000000000001E-2</v>
      </c>
      <c r="E2472" s="18">
        <f>Equipos!S$32</f>
        <v>8.1039256198347118</v>
      </c>
      <c r="F2472" s="375">
        <f t="shared" si="123"/>
        <v>0.52</v>
      </c>
      <c r="G2472" s="1"/>
    </row>
    <row r="2473" spans="1:7" ht="14.1" customHeight="1">
      <c r="A2473" s="480">
        <v>9</v>
      </c>
      <c r="B2473" s="220" t="s">
        <v>999</v>
      </c>
      <c r="C2473" s="399" t="s">
        <v>433</v>
      </c>
      <c r="D2473" s="224">
        <v>50</v>
      </c>
      <c r="E2473" s="18">
        <f>'MAT 31-10-2013'!R59</f>
        <v>2.3197887970615243</v>
      </c>
      <c r="F2473" s="375">
        <f t="shared" si="123"/>
        <v>115.99</v>
      </c>
      <c r="G2473" s="1"/>
    </row>
    <row r="2474" spans="1:7" ht="14.1" customHeight="1">
      <c r="A2474" s="480">
        <v>10</v>
      </c>
      <c r="B2474" s="13" t="s">
        <v>1191</v>
      </c>
      <c r="C2474" s="11" t="s">
        <v>4</v>
      </c>
      <c r="D2474" s="14">
        <v>1.05</v>
      </c>
      <c r="E2474" s="18">
        <v>0.2</v>
      </c>
      <c r="F2474" s="375">
        <f t="shared" si="123"/>
        <v>0.21</v>
      </c>
      <c r="G2474" s="1"/>
    </row>
    <row r="2475" spans="1:7" ht="14.1" customHeight="1">
      <c r="A2475" s="480">
        <v>11</v>
      </c>
      <c r="B2475" s="13"/>
      <c r="C2475" s="11"/>
      <c r="D2475" s="11"/>
      <c r="E2475" s="18"/>
      <c r="F2475" s="375">
        <f t="shared" si="123"/>
        <v>0</v>
      </c>
      <c r="G2475" s="1"/>
    </row>
    <row r="2476" spans="1:7" ht="14.1" customHeight="1" thickBot="1">
      <c r="A2476" s="480">
        <v>12</v>
      </c>
      <c r="B2476" s="13"/>
      <c r="C2476" s="11"/>
      <c r="D2476" s="11"/>
      <c r="E2476" s="18"/>
      <c r="F2476" s="375">
        <f t="shared" si="123"/>
        <v>0</v>
      </c>
      <c r="G2476" s="1"/>
    </row>
    <row r="2477" spans="1:7" ht="14.1" customHeight="1" thickBot="1">
      <c r="A2477" s="481"/>
      <c r="B2477" s="5"/>
      <c r="C2477" s="367"/>
      <c r="D2477" s="367"/>
      <c r="E2477" s="367" t="s">
        <v>151</v>
      </c>
      <c r="F2477" s="376">
        <f>SUM(F2465:F2476)</f>
        <v>149.29</v>
      </c>
      <c r="G2477" s="1"/>
    </row>
    <row r="2478" spans="1:7" ht="14.1" customHeight="1">
      <c r="A2478" s="482"/>
      <c r="B2478" s="398"/>
      <c r="C2478" s="401"/>
      <c r="D2478" s="401"/>
      <c r="E2478" s="401"/>
      <c r="F2478" s="401"/>
      <c r="G2478" s="1"/>
    </row>
    <row r="2479" spans="1:7" ht="14.1" customHeight="1">
      <c r="A2479" s="625" t="s">
        <v>152</v>
      </c>
      <c r="B2479" s="625"/>
      <c r="C2479" s="625"/>
      <c r="D2479" s="625"/>
      <c r="E2479" s="625"/>
      <c r="F2479" s="625"/>
      <c r="G2479" s="1"/>
    </row>
    <row r="2480" spans="1:7" ht="14.1" customHeight="1">
      <c r="A2480" s="482"/>
      <c r="B2480" s="398"/>
      <c r="C2480" s="401"/>
      <c r="D2480" s="401"/>
      <c r="E2480" s="401"/>
      <c r="F2480" s="367"/>
      <c r="G2480" s="1"/>
    </row>
    <row r="2481" spans="1:7" ht="14.1" customHeight="1">
      <c r="A2481" s="480">
        <v>13</v>
      </c>
      <c r="B2481" s="17" t="s">
        <v>153</v>
      </c>
      <c r="C2481" s="11" t="s">
        <v>154</v>
      </c>
      <c r="D2481" s="14">
        <f>D2467+D2468+D2470+D2471</f>
        <v>0.128</v>
      </c>
      <c r="E2481" s="18">
        <f>'Mano de obra'!$J$20</f>
        <v>82.610000000000014</v>
      </c>
      <c r="F2481" s="375">
        <f>ROUND(D2481*E2481, 2)</f>
        <v>10.57</v>
      </c>
      <c r="G2481" s="1"/>
    </row>
    <row r="2482" spans="1:7" ht="14.1" customHeight="1">
      <c r="A2482" s="480">
        <v>14</v>
      </c>
      <c r="B2482" s="17" t="s">
        <v>155</v>
      </c>
      <c r="C2482" s="11" t="s">
        <v>154</v>
      </c>
      <c r="D2482" s="14">
        <v>0.1</v>
      </c>
      <c r="E2482" s="18">
        <f>'Mano de obra'!$J$21</f>
        <v>70.38</v>
      </c>
      <c r="F2482" s="375">
        <f t="shared" ref="F2482:F2485" si="124">ROUND(D2482*E2482, 2)</f>
        <v>7.04</v>
      </c>
      <c r="G2482" s="1"/>
    </row>
    <row r="2483" spans="1:7" ht="14.1" customHeight="1">
      <c r="A2483" s="480">
        <v>15</v>
      </c>
      <c r="B2483" s="17" t="s">
        <v>156</v>
      </c>
      <c r="C2483" s="11" t="s">
        <v>154</v>
      </c>
      <c r="D2483" s="14"/>
      <c r="E2483" s="18">
        <f>'Mano de obra'!$J$22</f>
        <v>64.78</v>
      </c>
      <c r="F2483" s="375">
        <f t="shared" si="124"/>
        <v>0</v>
      </c>
      <c r="G2483" s="1"/>
    </row>
    <row r="2484" spans="1:7" ht="14.1" customHeight="1">
      <c r="A2484" s="480">
        <v>16</v>
      </c>
      <c r="B2484" s="17" t="s">
        <v>157</v>
      </c>
      <c r="C2484" s="11" t="s">
        <v>154</v>
      </c>
      <c r="D2484" s="14">
        <v>0.25</v>
      </c>
      <c r="E2484" s="18">
        <f>'Mano de obra'!$J$23</f>
        <v>59.800000000000004</v>
      </c>
      <c r="F2484" s="375">
        <f t="shared" si="124"/>
        <v>14.95</v>
      </c>
      <c r="G2484" s="1"/>
    </row>
    <row r="2485" spans="1:7" ht="14.1" customHeight="1" thickBot="1">
      <c r="A2485" s="480">
        <v>17</v>
      </c>
      <c r="B2485" s="13"/>
      <c r="C2485" s="11"/>
      <c r="D2485" s="11"/>
      <c r="E2485" s="18"/>
      <c r="F2485" s="375">
        <f t="shared" si="124"/>
        <v>0</v>
      </c>
      <c r="G2485" s="1"/>
    </row>
    <row r="2486" spans="1:7" ht="14.1" customHeight="1" thickBot="1">
      <c r="A2486" s="483"/>
      <c r="B2486" s="398"/>
      <c r="C2486" s="401"/>
      <c r="D2486" s="401"/>
      <c r="E2486" s="367" t="s">
        <v>158</v>
      </c>
      <c r="F2486" s="376">
        <f>SUM(F2481:F2485)</f>
        <v>32.56</v>
      </c>
      <c r="G2486" s="1"/>
    </row>
    <row r="2487" spans="1:7" ht="14.1" customHeight="1" thickBot="1">
      <c r="A2487" s="484"/>
      <c r="B2487" s="398"/>
      <c r="C2487" s="401"/>
      <c r="D2487" s="401"/>
      <c r="E2487" s="401"/>
      <c r="F2487" s="367"/>
      <c r="G2487" s="1"/>
    </row>
    <row r="2488" spans="1:7" ht="14.1" customHeight="1" thickBot="1">
      <c r="A2488" s="480"/>
      <c r="B2488" s="142" t="s">
        <v>273</v>
      </c>
      <c r="C2488" s="369"/>
      <c r="D2488" s="369"/>
      <c r="E2488" s="377" t="s">
        <v>159</v>
      </c>
      <c r="F2488" s="376">
        <f>SUM(F2477+F2486)</f>
        <v>181.85</v>
      </c>
      <c r="G2488" s="1"/>
    </row>
    <row r="2489" spans="1:7" ht="15" customHeight="1">
      <c r="A2489" s="626"/>
      <c r="B2489" s="627" t="s">
        <v>274</v>
      </c>
      <c r="C2489" s="628"/>
      <c r="D2489" s="628"/>
      <c r="E2489" s="629" t="s">
        <v>275</v>
      </c>
      <c r="F2489" s="631">
        <f>ROUND(F2488*'Coef. resumen'!$F$23, 2)</f>
        <v>269.5</v>
      </c>
    </row>
    <row r="2490" spans="1:7" ht="15" customHeight="1" thickBot="1">
      <c r="A2490" s="626"/>
      <c r="B2490" s="627"/>
      <c r="C2490" s="628"/>
      <c r="D2490" s="628"/>
      <c r="E2490" s="630"/>
      <c r="F2490" s="632"/>
    </row>
    <row r="2491" spans="1:7" ht="15">
      <c r="A2491" s="471"/>
      <c r="B2491" s="2"/>
      <c r="C2491" s="402"/>
      <c r="D2491" s="402"/>
      <c r="E2491" s="402"/>
      <c r="F2491" s="402"/>
    </row>
    <row r="2492" spans="1:7" ht="15">
      <c r="A2492" s="471"/>
      <c r="B2492" s="2"/>
      <c r="C2492" s="402"/>
      <c r="D2492" s="402"/>
      <c r="E2492" s="402"/>
      <c r="F2492" s="402"/>
    </row>
    <row r="2493" spans="1:7" ht="15">
      <c r="A2493" s="471"/>
      <c r="B2493" s="194" t="str">
        <f>'Coef. resumen'!$B$30</f>
        <v>Julián Antonelli</v>
      </c>
      <c r="C2493" s="524"/>
      <c r="D2493" s="524"/>
      <c r="E2493" s="194" t="str">
        <f>'Coef. resumen'!$E$30</f>
        <v>Marcelo A. Pasquini</v>
      </c>
      <c r="F2493" s="402"/>
    </row>
    <row r="2494" spans="1:7" ht="15">
      <c r="A2494" s="471"/>
      <c r="B2494" s="194" t="str">
        <f>'Coef. resumen'!$B$31</f>
        <v>Ing. Civil M.P. 2161</v>
      </c>
      <c r="C2494" s="524"/>
      <c r="D2494" s="524"/>
      <c r="E2494" s="194" t="str">
        <f>'Coef. resumen'!$E$31</f>
        <v>Socio Gerente</v>
      </c>
      <c r="F2494" s="402"/>
    </row>
    <row r="2495" spans="1:7" ht="15">
      <c r="A2495" s="471"/>
      <c r="B2495" s="194" t="str">
        <f>'Coef. resumen'!$B$32</f>
        <v>Representante Técnico</v>
      </c>
      <c r="C2495" s="524"/>
      <c r="D2495" s="19"/>
      <c r="E2495" s="194" t="str">
        <f>'Coef. resumen'!$E$32</f>
        <v>Pasquini Construcciones SRL</v>
      </c>
      <c r="F2495" s="402"/>
    </row>
    <row r="2496" spans="1:7" ht="15">
      <c r="A2496" s="471"/>
      <c r="B2496" s="194"/>
      <c r="C2496" s="402"/>
      <c r="D2496" s="19"/>
      <c r="E2496" s="194"/>
      <c r="F2496" s="402"/>
    </row>
    <row r="2497" spans="1:7" ht="14.1" customHeight="1">
      <c r="A2497" s="477" t="s">
        <v>142</v>
      </c>
      <c r="B2497" s="613" t="str">
        <f>Presupuesto!B101</f>
        <v xml:space="preserve">Prov. y coloc. cables subterráneos  CU 15 Kv cat.II 1x70 mm2 </v>
      </c>
      <c r="C2497" s="614"/>
      <c r="D2497" s="615"/>
      <c r="E2497" s="367" t="s">
        <v>143</v>
      </c>
      <c r="F2497" s="30" t="str">
        <f>Presupuesto!C101</f>
        <v>ml</v>
      </c>
      <c r="G2497" s="1"/>
    </row>
    <row r="2498" spans="1:7" ht="14.1" customHeight="1">
      <c r="A2498" s="622" t="str">
        <f>Presupuesto!A101</f>
        <v>4.2.1</v>
      </c>
      <c r="B2498" s="616"/>
      <c r="C2498" s="617"/>
      <c r="D2498" s="618"/>
      <c r="E2498" s="367"/>
      <c r="F2498" s="367"/>
      <c r="G2498" s="1"/>
    </row>
    <row r="2499" spans="1:7" ht="14.1" customHeight="1">
      <c r="A2499" s="622"/>
      <c r="B2499" s="616"/>
      <c r="C2499" s="617"/>
      <c r="D2499" s="618"/>
      <c r="E2499" s="367"/>
      <c r="F2499" s="367"/>
      <c r="G2499" s="1"/>
    </row>
    <row r="2500" spans="1:7" ht="14.1" customHeight="1">
      <c r="A2500" s="623"/>
      <c r="B2500" s="619"/>
      <c r="C2500" s="620"/>
      <c r="D2500" s="621"/>
      <c r="E2500" s="367"/>
      <c r="F2500" s="367"/>
      <c r="G2500" s="1"/>
    </row>
    <row r="2501" spans="1:7" ht="14.1" customHeight="1">
      <c r="A2501" s="478"/>
      <c r="B2501" s="29"/>
      <c r="C2501" s="368"/>
      <c r="D2501" s="368"/>
      <c r="E2501" s="365"/>
      <c r="F2501" s="365"/>
      <c r="G2501" s="1"/>
    </row>
    <row r="2502" spans="1:7" ht="14.1" customHeight="1">
      <c r="A2502" s="624" t="s">
        <v>144</v>
      </c>
      <c r="B2502" s="624"/>
      <c r="C2502" s="624"/>
      <c r="D2502" s="624"/>
      <c r="E2502" s="624"/>
      <c r="F2502" s="624"/>
      <c r="G2502" s="1"/>
    </row>
    <row r="2503" spans="1:7" ht="14.1" customHeight="1">
      <c r="A2503" s="479"/>
      <c r="B2503" s="10"/>
      <c r="C2503" s="400"/>
      <c r="D2503" s="400"/>
      <c r="E2503" s="400"/>
      <c r="F2503" s="400"/>
      <c r="G2503" s="1"/>
    </row>
    <row r="2504" spans="1:7" ht="15.95" customHeight="1">
      <c r="A2504" s="480" t="s">
        <v>145</v>
      </c>
      <c r="B2504" s="11" t="s">
        <v>146</v>
      </c>
      <c r="C2504" s="11" t="s">
        <v>147</v>
      </c>
      <c r="D2504" s="11" t="s">
        <v>148</v>
      </c>
      <c r="E2504" s="12" t="s">
        <v>149</v>
      </c>
      <c r="F2504" s="11" t="s">
        <v>150</v>
      </c>
      <c r="G2504" s="1"/>
    </row>
    <row r="2505" spans="1:7" ht="14.1" customHeight="1">
      <c r="A2505" s="480">
        <v>1</v>
      </c>
      <c r="B2505" s="220" t="s">
        <v>1216</v>
      </c>
      <c r="C2505" s="221" t="s">
        <v>12</v>
      </c>
      <c r="D2505" s="221">
        <v>1</v>
      </c>
      <c r="E2505" s="18">
        <v>76</v>
      </c>
      <c r="F2505" s="375">
        <f>ROUND(D2505*E2505, 2)</f>
        <v>76</v>
      </c>
      <c r="G2505" s="1"/>
    </row>
    <row r="2506" spans="1:7" ht="14.1" customHeight="1">
      <c r="A2506" s="480">
        <v>2</v>
      </c>
      <c r="B2506" s="220" t="s">
        <v>1192</v>
      </c>
      <c r="C2506" s="224" t="s">
        <v>1026</v>
      </c>
      <c r="D2506" s="224">
        <v>1</v>
      </c>
      <c r="E2506" s="18">
        <f>0.1*F2505</f>
        <v>7.6000000000000005</v>
      </c>
      <c r="F2506" s="375">
        <f t="shared" ref="F2506:F2516" si="125">ROUND(D2506*E2506, 2)</f>
        <v>7.6</v>
      </c>
      <c r="G2506" s="1"/>
    </row>
    <row r="2507" spans="1:7" ht="14.1" customHeight="1">
      <c r="A2507" s="480">
        <v>3</v>
      </c>
      <c r="B2507" s="220" t="s">
        <v>1164</v>
      </c>
      <c r="C2507" s="406" t="s">
        <v>325</v>
      </c>
      <c r="D2507" s="224">
        <v>0.05</v>
      </c>
      <c r="E2507" s="18">
        <f>Equipos!S$35</f>
        <v>193.33264462809916</v>
      </c>
      <c r="F2507" s="375">
        <f t="shared" si="125"/>
        <v>9.67</v>
      </c>
      <c r="G2507" s="1"/>
    </row>
    <row r="2508" spans="1:7" ht="14.1" customHeight="1">
      <c r="A2508" s="480">
        <v>4</v>
      </c>
      <c r="B2508" s="220"/>
      <c r="C2508" s="399"/>
      <c r="D2508" s="224"/>
      <c r="E2508" s="18"/>
      <c r="F2508" s="375">
        <f t="shared" si="125"/>
        <v>0</v>
      </c>
      <c r="G2508" s="1"/>
    </row>
    <row r="2509" spans="1:7" ht="14.1" customHeight="1">
      <c r="A2509" s="480">
        <v>5</v>
      </c>
      <c r="B2509" s="220"/>
      <c r="C2509" s="399"/>
      <c r="D2509" s="224"/>
      <c r="E2509" s="18"/>
      <c r="F2509" s="375">
        <f t="shared" si="125"/>
        <v>0</v>
      </c>
      <c r="G2509" s="1"/>
    </row>
    <row r="2510" spans="1:7" ht="14.1" customHeight="1">
      <c r="A2510" s="480">
        <v>6</v>
      </c>
      <c r="B2510" s="220"/>
      <c r="C2510" s="399"/>
      <c r="D2510" s="224"/>
      <c r="E2510" s="18"/>
      <c r="F2510" s="375">
        <f t="shared" si="125"/>
        <v>0</v>
      </c>
      <c r="G2510" s="1"/>
    </row>
    <row r="2511" spans="1:7" ht="14.1" customHeight="1">
      <c r="A2511" s="480">
        <v>7</v>
      </c>
      <c r="B2511" s="220"/>
      <c r="C2511" s="399"/>
      <c r="D2511" s="224"/>
      <c r="E2511" s="18"/>
      <c r="F2511" s="375">
        <f t="shared" si="125"/>
        <v>0</v>
      </c>
      <c r="G2511" s="1"/>
    </row>
    <row r="2512" spans="1:7" ht="14.1" customHeight="1">
      <c r="A2512" s="480">
        <v>8</v>
      </c>
      <c r="B2512" s="220"/>
      <c r="C2512" s="399"/>
      <c r="D2512" s="224"/>
      <c r="E2512" s="18"/>
      <c r="F2512" s="375">
        <f t="shared" si="125"/>
        <v>0</v>
      </c>
      <c r="G2512" s="1"/>
    </row>
    <row r="2513" spans="1:7" ht="14.1" customHeight="1">
      <c r="A2513" s="480">
        <v>9</v>
      </c>
      <c r="B2513" s="220"/>
      <c r="C2513" s="399"/>
      <c r="D2513" s="224"/>
      <c r="E2513" s="18"/>
      <c r="F2513" s="375">
        <f t="shared" si="125"/>
        <v>0</v>
      </c>
      <c r="G2513" s="1"/>
    </row>
    <row r="2514" spans="1:7" ht="14.1" customHeight="1">
      <c r="A2514" s="480">
        <v>10</v>
      </c>
      <c r="B2514" s="13"/>
      <c r="C2514" s="11"/>
      <c r="D2514" s="14"/>
      <c r="E2514" s="18"/>
      <c r="F2514" s="375">
        <f t="shared" si="125"/>
        <v>0</v>
      </c>
      <c r="G2514" s="1"/>
    </row>
    <row r="2515" spans="1:7" ht="14.1" customHeight="1">
      <c r="A2515" s="480">
        <v>11</v>
      </c>
      <c r="B2515" s="13"/>
      <c r="C2515" s="11"/>
      <c r="D2515" s="11"/>
      <c r="E2515" s="18"/>
      <c r="F2515" s="375">
        <f t="shared" si="125"/>
        <v>0</v>
      </c>
      <c r="G2515" s="1"/>
    </row>
    <row r="2516" spans="1:7" ht="14.1" customHeight="1" thickBot="1">
      <c r="A2516" s="480">
        <v>12</v>
      </c>
      <c r="B2516" s="13"/>
      <c r="C2516" s="11"/>
      <c r="D2516" s="11"/>
      <c r="E2516" s="18"/>
      <c r="F2516" s="375">
        <f t="shared" si="125"/>
        <v>0</v>
      </c>
      <c r="G2516" s="1"/>
    </row>
    <row r="2517" spans="1:7" ht="14.1" customHeight="1" thickBot="1">
      <c r="A2517" s="481"/>
      <c r="B2517" s="5"/>
      <c r="C2517" s="367"/>
      <c r="D2517" s="367"/>
      <c r="E2517" s="367" t="s">
        <v>151</v>
      </c>
      <c r="F2517" s="376">
        <f>SUM(F2505:F2516)</f>
        <v>93.27</v>
      </c>
      <c r="G2517" s="1"/>
    </row>
    <row r="2518" spans="1:7" ht="14.1" customHeight="1">
      <c r="A2518" s="482"/>
      <c r="B2518" s="398"/>
      <c r="C2518" s="401"/>
      <c r="D2518" s="401"/>
      <c r="E2518" s="401"/>
      <c r="F2518" s="401"/>
      <c r="G2518" s="1"/>
    </row>
    <row r="2519" spans="1:7" ht="14.1" customHeight="1">
      <c r="A2519" s="625" t="s">
        <v>152</v>
      </c>
      <c r="B2519" s="625"/>
      <c r="C2519" s="625"/>
      <c r="D2519" s="625"/>
      <c r="E2519" s="625"/>
      <c r="F2519" s="625"/>
      <c r="G2519" s="1"/>
    </row>
    <row r="2520" spans="1:7" ht="14.1" customHeight="1">
      <c r="A2520" s="482"/>
      <c r="B2520" s="398"/>
      <c r="C2520" s="401"/>
      <c r="D2520" s="401"/>
      <c r="E2520" s="401"/>
      <c r="F2520" s="367"/>
      <c r="G2520" s="1"/>
    </row>
    <row r="2521" spans="1:7" ht="14.1" customHeight="1">
      <c r="A2521" s="480">
        <v>13</v>
      </c>
      <c r="B2521" s="17" t="s">
        <v>153</v>
      </c>
      <c r="C2521" s="11" t="s">
        <v>154</v>
      </c>
      <c r="D2521" s="14">
        <f>D2507</f>
        <v>0.05</v>
      </c>
      <c r="E2521" s="18">
        <f>'Mano de obra'!$J$20</f>
        <v>82.610000000000014</v>
      </c>
      <c r="F2521" s="375">
        <f>ROUND(D2521*E2521, 2)</f>
        <v>4.13</v>
      </c>
      <c r="G2521" s="1"/>
    </row>
    <row r="2522" spans="1:7" ht="14.1" customHeight="1">
      <c r="A2522" s="480">
        <v>14</v>
      </c>
      <c r="B2522" s="17" t="s">
        <v>155</v>
      </c>
      <c r="C2522" s="11" t="s">
        <v>154</v>
      </c>
      <c r="D2522" s="14">
        <f>15/200</f>
        <v>7.4999999999999997E-2</v>
      </c>
      <c r="E2522" s="18">
        <f>'Mano de obra'!$J$21</f>
        <v>70.38</v>
      </c>
      <c r="F2522" s="375">
        <f t="shared" ref="F2522:F2525" si="126">ROUND(D2522*E2522, 2)</f>
        <v>5.28</v>
      </c>
      <c r="G2522" s="1"/>
    </row>
    <row r="2523" spans="1:7" ht="14.1" customHeight="1">
      <c r="A2523" s="480">
        <v>15</v>
      </c>
      <c r="B2523" s="17" t="s">
        <v>156</v>
      </c>
      <c r="C2523" s="11" t="s">
        <v>154</v>
      </c>
      <c r="D2523" s="14"/>
      <c r="E2523" s="18">
        <f>'Mano de obra'!$J$22</f>
        <v>64.78</v>
      </c>
      <c r="F2523" s="375">
        <f t="shared" si="126"/>
        <v>0</v>
      </c>
      <c r="G2523" s="1"/>
    </row>
    <row r="2524" spans="1:7" ht="14.1" customHeight="1">
      <c r="A2524" s="480">
        <v>16</v>
      </c>
      <c r="B2524" s="17" t="s">
        <v>157</v>
      </c>
      <c r="C2524" s="11" t="s">
        <v>154</v>
      </c>
      <c r="D2524" s="14">
        <f>30/200</f>
        <v>0.15</v>
      </c>
      <c r="E2524" s="18">
        <f>'Mano de obra'!$J$23</f>
        <v>59.800000000000004</v>
      </c>
      <c r="F2524" s="375">
        <f t="shared" si="126"/>
        <v>8.9700000000000006</v>
      </c>
      <c r="G2524" s="1"/>
    </row>
    <row r="2525" spans="1:7" ht="14.1" customHeight="1" thickBot="1">
      <c r="A2525" s="480">
        <v>17</v>
      </c>
      <c r="B2525" s="13"/>
      <c r="C2525" s="11"/>
      <c r="D2525" s="11"/>
      <c r="E2525" s="18"/>
      <c r="F2525" s="375">
        <f t="shared" si="126"/>
        <v>0</v>
      </c>
      <c r="G2525" s="1"/>
    </row>
    <row r="2526" spans="1:7" ht="14.1" customHeight="1" thickBot="1">
      <c r="A2526" s="483"/>
      <c r="B2526" s="398"/>
      <c r="C2526" s="401"/>
      <c r="D2526" s="401"/>
      <c r="E2526" s="367" t="s">
        <v>158</v>
      </c>
      <c r="F2526" s="376">
        <f>SUM(F2521:F2525)</f>
        <v>18.380000000000003</v>
      </c>
      <c r="G2526" s="1"/>
    </row>
    <row r="2527" spans="1:7" ht="14.1" customHeight="1" thickBot="1">
      <c r="A2527" s="484"/>
      <c r="B2527" s="398"/>
      <c r="C2527" s="401"/>
      <c r="D2527" s="401"/>
      <c r="E2527" s="401"/>
      <c r="F2527" s="367"/>
      <c r="G2527" s="1"/>
    </row>
    <row r="2528" spans="1:7" ht="14.1" customHeight="1" thickBot="1">
      <c r="A2528" s="480"/>
      <c r="B2528" s="142" t="s">
        <v>273</v>
      </c>
      <c r="C2528" s="369"/>
      <c r="D2528" s="369"/>
      <c r="E2528" s="377" t="s">
        <v>159</v>
      </c>
      <c r="F2528" s="376">
        <f>SUM(F2517+F2526)</f>
        <v>111.65</v>
      </c>
      <c r="G2528" s="1"/>
    </row>
    <row r="2529" spans="1:7" ht="15" customHeight="1">
      <c r="A2529" s="626"/>
      <c r="B2529" s="627" t="s">
        <v>274</v>
      </c>
      <c r="C2529" s="628"/>
      <c r="D2529" s="628"/>
      <c r="E2529" s="629" t="s">
        <v>275</v>
      </c>
      <c r="F2529" s="631">
        <f>ROUND(F2528*'Coef. resumen'!$F$23, 2)</f>
        <v>165.47</v>
      </c>
    </row>
    <row r="2530" spans="1:7" ht="15" customHeight="1" thickBot="1">
      <c r="A2530" s="626"/>
      <c r="B2530" s="627"/>
      <c r="C2530" s="628"/>
      <c r="D2530" s="628"/>
      <c r="E2530" s="630"/>
      <c r="F2530" s="632"/>
    </row>
    <row r="2531" spans="1:7" ht="15">
      <c r="A2531" s="471"/>
      <c r="B2531" s="2"/>
      <c r="C2531" s="402"/>
      <c r="D2531" s="402"/>
      <c r="E2531" s="402"/>
      <c r="F2531" s="402"/>
    </row>
    <row r="2532" spans="1:7" ht="15">
      <c r="A2532" s="471"/>
      <c r="B2532" s="2"/>
      <c r="C2532" s="402"/>
      <c r="D2532" s="402"/>
      <c r="E2532" s="402"/>
      <c r="F2532" s="402"/>
    </row>
    <row r="2533" spans="1:7" ht="15">
      <c r="A2533" s="471"/>
      <c r="B2533" s="194" t="str">
        <f>'Coef. resumen'!$B$30</f>
        <v>Julián Antonelli</v>
      </c>
      <c r="C2533" s="524"/>
      <c r="D2533" s="524"/>
      <c r="E2533" s="194" t="str">
        <f>'Coef. resumen'!$E$30</f>
        <v>Marcelo A. Pasquini</v>
      </c>
      <c r="F2533" s="402"/>
    </row>
    <row r="2534" spans="1:7" ht="15">
      <c r="A2534" s="471"/>
      <c r="B2534" s="194" t="str">
        <f>'Coef. resumen'!$B$31</f>
        <v>Ing. Civil M.P. 2161</v>
      </c>
      <c r="C2534" s="524"/>
      <c r="D2534" s="524"/>
      <c r="E2534" s="194" t="str">
        <f>'Coef. resumen'!$E$31</f>
        <v>Socio Gerente</v>
      </c>
      <c r="F2534" s="402"/>
    </row>
    <row r="2535" spans="1:7" ht="15">
      <c r="A2535" s="471"/>
      <c r="B2535" s="194" t="str">
        <f>'Coef. resumen'!$B$32</f>
        <v>Representante Técnico</v>
      </c>
      <c r="C2535" s="524"/>
      <c r="D2535" s="19"/>
      <c r="E2535" s="194" t="str">
        <f>'Coef. resumen'!$E$32</f>
        <v>Pasquini Construcciones SRL</v>
      </c>
      <c r="F2535" s="402"/>
    </row>
    <row r="2536" spans="1:7" ht="15">
      <c r="A2536" s="471"/>
      <c r="B2536" s="194"/>
      <c r="C2536" s="402"/>
      <c r="D2536" s="19"/>
      <c r="E2536" s="194"/>
      <c r="F2536" s="402"/>
    </row>
    <row r="2537" spans="1:7" ht="14.1" customHeight="1">
      <c r="A2537" s="477" t="s">
        <v>142</v>
      </c>
      <c r="B2537" s="613" t="str">
        <f>Presupuesto!B102</f>
        <v>Prov. y coloc. cables subterráneos  1,1 Kv, 1x240 mm2</v>
      </c>
      <c r="C2537" s="614"/>
      <c r="D2537" s="615"/>
      <c r="E2537" s="367" t="s">
        <v>143</v>
      </c>
      <c r="F2537" s="30" t="str">
        <f>Presupuesto!C102</f>
        <v>ml</v>
      </c>
      <c r="G2537" s="1"/>
    </row>
    <row r="2538" spans="1:7" ht="14.1" customHeight="1">
      <c r="A2538" s="622" t="str">
        <f>Presupuesto!A102</f>
        <v>4.2.2</v>
      </c>
      <c r="B2538" s="616"/>
      <c r="C2538" s="617"/>
      <c r="D2538" s="618"/>
      <c r="E2538" s="367"/>
      <c r="F2538" s="367"/>
      <c r="G2538" s="1"/>
    </row>
    <row r="2539" spans="1:7" ht="14.1" customHeight="1">
      <c r="A2539" s="622"/>
      <c r="B2539" s="616"/>
      <c r="C2539" s="617"/>
      <c r="D2539" s="618"/>
      <c r="E2539" s="367"/>
      <c r="F2539" s="367"/>
      <c r="G2539" s="1"/>
    </row>
    <row r="2540" spans="1:7" ht="14.1" customHeight="1">
      <c r="A2540" s="623"/>
      <c r="B2540" s="619"/>
      <c r="C2540" s="620"/>
      <c r="D2540" s="621"/>
      <c r="E2540" s="367"/>
      <c r="F2540" s="367"/>
      <c r="G2540" s="1"/>
    </row>
    <row r="2541" spans="1:7" ht="14.1" customHeight="1">
      <c r="A2541" s="478"/>
      <c r="B2541" s="29"/>
      <c r="C2541" s="368"/>
      <c r="D2541" s="368"/>
      <c r="E2541" s="365"/>
      <c r="F2541" s="365"/>
      <c r="G2541" s="1"/>
    </row>
    <row r="2542" spans="1:7" ht="14.1" customHeight="1">
      <c r="A2542" s="624" t="s">
        <v>144</v>
      </c>
      <c r="B2542" s="624"/>
      <c r="C2542" s="624"/>
      <c r="D2542" s="624"/>
      <c r="E2542" s="624"/>
      <c r="F2542" s="624"/>
      <c r="G2542" s="1"/>
    </row>
    <row r="2543" spans="1:7" ht="14.1" customHeight="1">
      <c r="A2543" s="479"/>
      <c r="B2543" s="10"/>
      <c r="C2543" s="400"/>
      <c r="D2543" s="400"/>
      <c r="E2543" s="400"/>
      <c r="F2543" s="400"/>
      <c r="G2543" s="1"/>
    </row>
    <row r="2544" spans="1:7" ht="15.95" customHeight="1">
      <c r="A2544" s="480" t="s">
        <v>145</v>
      </c>
      <c r="B2544" s="11" t="s">
        <v>146</v>
      </c>
      <c r="C2544" s="11" t="s">
        <v>147</v>
      </c>
      <c r="D2544" s="11" t="s">
        <v>148</v>
      </c>
      <c r="E2544" s="12" t="s">
        <v>149</v>
      </c>
      <c r="F2544" s="11" t="s">
        <v>150</v>
      </c>
      <c r="G2544" s="1"/>
    </row>
    <row r="2545" spans="1:7" ht="14.1" customHeight="1">
      <c r="A2545" s="480">
        <v>1</v>
      </c>
      <c r="B2545" s="220" t="s">
        <v>1217</v>
      </c>
      <c r="C2545" s="221" t="s">
        <v>12</v>
      </c>
      <c r="D2545" s="221">
        <v>1</v>
      </c>
      <c r="E2545" s="18">
        <v>182</v>
      </c>
      <c r="F2545" s="375">
        <f>ROUND(D2545*E2545, 2)</f>
        <v>182</v>
      </c>
      <c r="G2545" s="1"/>
    </row>
    <row r="2546" spans="1:7" ht="14.1" customHeight="1">
      <c r="A2546" s="480">
        <v>2</v>
      </c>
      <c r="B2546" s="220" t="s">
        <v>1192</v>
      </c>
      <c r="C2546" s="224" t="s">
        <v>1026</v>
      </c>
      <c r="D2546" s="224">
        <v>1</v>
      </c>
      <c r="E2546" s="18">
        <f>0.1*F2545</f>
        <v>18.2</v>
      </c>
      <c r="F2546" s="375">
        <f t="shared" ref="F2546:F2556" si="127">ROUND(D2546*E2546, 2)</f>
        <v>18.2</v>
      </c>
      <c r="G2546" s="1"/>
    </row>
    <row r="2547" spans="1:7" ht="14.1" customHeight="1">
      <c r="A2547" s="480">
        <v>3</v>
      </c>
      <c r="B2547" s="220" t="s">
        <v>1164</v>
      </c>
      <c r="C2547" s="406" t="s">
        <v>325</v>
      </c>
      <c r="D2547" s="224">
        <v>0.05</v>
      </c>
      <c r="E2547" s="18">
        <f>Equipos!S$35</f>
        <v>193.33264462809916</v>
      </c>
      <c r="F2547" s="375">
        <f t="shared" si="127"/>
        <v>9.67</v>
      </c>
      <c r="G2547" s="1"/>
    </row>
    <row r="2548" spans="1:7" ht="14.1" customHeight="1">
      <c r="A2548" s="480">
        <v>4</v>
      </c>
      <c r="B2548" s="220"/>
      <c r="C2548" s="399"/>
      <c r="D2548" s="224"/>
      <c r="E2548" s="18"/>
      <c r="F2548" s="375">
        <f t="shared" si="127"/>
        <v>0</v>
      </c>
      <c r="G2548" s="1"/>
    </row>
    <row r="2549" spans="1:7" ht="14.1" customHeight="1">
      <c r="A2549" s="480">
        <v>5</v>
      </c>
      <c r="B2549" s="220"/>
      <c r="C2549" s="399"/>
      <c r="D2549" s="224"/>
      <c r="E2549" s="18"/>
      <c r="F2549" s="375">
        <f t="shared" si="127"/>
        <v>0</v>
      </c>
      <c r="G2549" s="1"/>
    </row>
    <row r="2550" spans="1:7" ht="14.1" customHeight="1">
      <c r="A2550" s="480">
        <v>6</v>
      </c>
      <c r="B2550" s="220"/>
      <c r="C2550" s="399"/>
      <c r="D2550" s="224"/>
      <c r="E2550" s="18"/>
      <c r="F2550" s="375">
        <f t="shared" si="127"/>
        <v>0</v>
      </c>
      <c r="G2550" s="1"/>
    </row>
    <row r="2551" spans="1:7" ht="14.1" customHeight="1">
      <c r="A2551" s="480">
        <v>7</v>
      </c>
      <c r="B2551" s="220"/>
      <c r="C2551" s="399"/>
      <c r="D2551" s="224"/>
      <c r="E2551" s="18"/>
      <c r="F2551" s="375">
        <f t="shared" si="127"/>
        <v>0</v>
      </c>
      <c r="G2551" s="1"/>
    </row>
    <row r="2552" spans="1:7" ht="14.1" customHeight="1">
      <c r="A2552" s="480">
        <v>8</v>
      </c>
      <c r="B2552" s="220"/>
      <c r="C2552" s="399"/>
      <c r="D2552" s="224"/>
      <c r="E2552" s="18"/>
      <c r="F2552" s="375">
        <f t="shared" si="127"/>
        <v>0</v>
      </c>
      <c r="G2552" s="1"/>
    </row>
    <row r="2553" spans="1:7" ht="14.1" customHeight="1">
      <c r="A2553" s="480">
        <v>9</v>
      </c>
      <c r="B2553" s="220"/>
      <c r="C2553" s="399"/>
      <c r="D2553" s="224"/>
      <c r="E2553" s="18"/>
      <c r="F2553" s="375">
        <f t="shared" si="127"/>
        <v>0</v>
      </c>
      <c r="G2553" s="1"/>
    </row>
    <row r="2554" spans="1:7" ht="14.1" customHeight="1">
      <c r="A2554" s="480">
        <v>10</v>
      </c>
      <c r="B2554" s="13"/>
      <c r="C2554" s="11"/>
      <c r="D2554" s="14"/>
      <c r="E2554" s="18"/>
      <c r="F2554" s="375">
        <f t="shared" si="127"/>
        <v>0</v>
      </c>
      <c r="G2554" s="1"/>
    </row>
    <row r="2555" spans="1:7" ht="14.1" customHeight="1">
      <c r="A2555" s="480">
        <v>11</v>
      </c>
      <c r="B2555" s="13"/>
      <c r="C2555" s="11"/>
      <c r="D2555" s="11"/>
      <c r="E2555" s="18"/>
      <c r="F2555" s="375">
        <f t="shared" si="127"/>
        <v>0</v>
      </c>
      <c r="G2555" s="1"/>
    </row>
    <row r="2556" spans="1:7" ht="14.1" customHeight="1" thickBot="1">
      <c r="A2556" s="480">
        <v>12</v>
      </c>
      <c r="B2556" s="13"/>
      <c r="C2556" s="11"/>
      <c r="D2556" s="11"/>
      <c r="E2556" s="18"/>
      <c r="F2556" s="375">
        <f t="shared" si="127"/>
        <v>0</v>
      </c>
      <c r="G2556" s="1"/>
    </row>
    <row r="2557" spans="1:7" ht="14.1" customHeight="1" thickBot="1">
      <c r="A2557" s="481"/>
      <c r="B2557" s="5"/>
      <c r="C2557" s="367"/>
      <c r="D2557" s="367"/>
      <c r="E2557" s="367" t="s">
        <v>151</v>
      </c>
      <c r="F2557" s="376">
        <f>SUM(F2545:F2556)</f>
        <v>209.86999999999998</v>
      </c>
      <c r="G2557" s="1"/>
    </row>
    <row r="2558" spans="1:7" ht="14.1" customHeight="1">
      <c r="A2558" s="482"/>
      <c r="B2558" s="398"/>
      <c r="C2558" s="401"/>
      <c r="D2558" s="401"/>
      <c r="E2558" s="401"/>
      <c r="F2558" s="401"/>
      <c r="G2558" s="1"/>
    </row>
    <row r="2559" spans="1:7" ht="14.1" customHeight="1">
      <c r="A2559" s="625" t="s">
        <v>152</v>
      </c>
      <c r="B2559" s="625"/>
      <c r="C2559" s="625"/>
      <c r="D2559" s="625"/>
      <c r="E2559" s="625"/>
      <c r="F2559" s="625"/>
      <c r="G2559" s="1"/>
    </row>
    <row r="2560" spans="1:7" ht="14.1" customHeight="1">
      <c r="A2560" s="482"/>
      <c r="B2560" s="398"/>
      <c r="C2560" s="401"/>
      <c r="D2560" s="401"/>
      <c r="E2560" s="401"/>
      <c r="F2560" s="367"/>
      <c r="G2560" s="1"/>
    </row>
    <row r="2561" spans="1:7" ht="14.1" customHeight="1">
      <c r="A2561" s="480">
        <v>13</v>
      </c>
      <c r="B2561" s="17" t="s">
        <v>153</v>
      </c>
      <c r="C2561" s="11" t="s">
        <v>154</v>
      </c>
      <c r="D2561" s="14">
        <f>D2547</f>
        <v>0.05</v>
      </c>
      <c r="E2561" s="18">
        <f>'Mano de obra'!$J$20</f>
        <v>82.610000000000014</v>
      </c>
      <c r="F2561" s="375">
        <f>ROUND(D2561*E2561, 2)</f>
        <v>4.13</v>
      </c>
      <c r="G2561" s="1"/>
    </row>
    <row r="2562" spans="1:7" ht="14.1" customHeight="1">
      <c r="A2562" s="480">
        <v>14</v>
      </c>
      <c r="B2562" s="17" t="s">
        <v>155</v>
      </c>
      <c r="C2562" s="11" t="s">
        <v>154</v>
      </c>
      <c r="D2562" s="14">
        <f>15/200</f>
        <v>7.4999999999999997E-2</v>
      </c>
      <c r="E2562" s="18">
        <f>'Mano de obra'!$J$21</f>
        <v>70.38</v>
      </c>
      <c r="F2562" s="375">
        <f t="shared" ref="F2562:F2565" si="128">ROUND(D2562*E2562, 2)</f>
        <v>5.28</v>
      </c>
      <c r="G2562" s="1"/>
    </row>
    <row r="2563" spans="1:7" ht="14.1" customHeight="1">
      <c r="A2563" s="480">
        <v>15</v>
      </c>
      <c r="B2563" s="17" t="s">
        <v>156</v>
      </c>
      <c r="C2563" s="11" t="s">
        <v>154</v>
      </c>
      <c r="D2563" s="14"/>
      <c r="E2563" s="18">
        <f>'Mano de obra'!$J$22</f>
        <v>64.78</v>
      </c>
      <c r="F2563" s="375">
        <f t="shared" si="128"/>
        <v>0</v>
      </c>
      <c r="G2563" s="1"/>
    </row>
    <row r="2564" spans="1:7" ht="14.1" customHeight="1">
      <c r="A2564" s="480">
        <v>16</v>
      </c>
      <c r="B2564" s="17" t="s">
        <v>157</v>
      </c>
      <c r="C2564" s="11" t="s">
        <v>154</v>
      </c>
      <c r="D2564" s="14">
        <f>30/200</f>
        <v>0.15</v>
      </c>
      <c r="E2564" s="18">
        <f>'Mano de obra'!$J$23</f>
        <v>59.800000000000004</v>
      </c>
      <c r="F2564" s="375">
        <f t="shared" si="128"/>
        <v>8.9700000000000006</v>
      </c>
      <c r="G2564" s="1"/>
    </row>
    <row r="2565" spans="1:7" ht="14.1" customHeight="1" thickBot="1">
      <c r="A2565" s="480">
        <v>17</v>
      </c>
      <c r="B2565" s="13"/>
      <c r="C2565" s="11"/>
      <c r="D2565" s="11"/>
      <c r="E2565" s="18"/>
      <c r="F2565" s="375">
        <f t="shared" si="128"/>
        <v>0</v>
      </c>
      <c r="G2565" s="1"/>
    </row>
    <row r="2566" spans="1:7" ht="14.1" customHeight="1" thickBot="1">
      <c r="A2566" s="483"/>
      <c r="B2566" s="398"/>
      <c r="C2566" s="401"/>
      <c r="D2566" s="401"/>
      <c r="E2566" s="367" t="s">
        <v>158</v>
      </c>
      <c r="F2566" s="376">
        <f>SUM(F2561:F2565)</f>
        <v>18.380000000000003</v>
      </c>
      <c r="G2566" s="1"/>
    </row>
    <row r="2567" spans="1:7" ht="14.1" customHeight="1" thickBot="1">
      <c r="A2567" s="484"/>
      <c r="B2567" s="398"/>
      <c r="C2567" s="401"/>
      <c r="D2567" s="401"/>
      <c r="E2567" s="401"/>
      <c r="F2567" s="367"/>
      <c r="G2567" s="1"/>
    </row>
    <row r="2568" spans="1:7" ht="14.1" customHeight="1" thickBot="1">
      <c r="A2568" s="480"/>
      <c r="B2568" s="142" t="s">
        <v>273</v>
      </c>
      <c r="C2568" s="369"/>
      <c r="D2568" s="369"/>
      <c r="E2568" s="377" t="s">
        <v>159</v>
      </c>
      <c r="F2568" s="376">
        <f>SUM(F2557+F2566)</f>
        <v>228.24999999999997</v>
      </c>
      <c r="G2568" s="1"/>
    </row>
    <row r="2569" spans="1:7" ht="15" customHeight="1">
      <c r="A2569" s="626"/>
      <c r="B2569" s="627" t="s">
        <v>274</v>
      </c>
      <c r="C2569" s="628"/>
      <c r="D2569" s="628"/>
      <c r="E2569" s="629" t="s">
        <v>275</v>
      </c>
      <c r="F2569" s="631">
        <f>ROUND(F2568*'Coef. resumen'!$F$23, 2)</f>
        <v>338.27</v>
      </c>
    </row>
    <row r="2570" spans="1:7" ht="15" customHeight="1" thickBot="1">
      <c r="A2570" s="626"/>
      <c r="B2570" s="627"/>
      <c r="C2570" s="628"/>
      <c r="D2570" s="628"/>
      <c r="E2570" s="630"/>
      <c r="F2570" s="632"/>
    </row>
    <row r="2571" spans="1:7" ht="15">
      <c r="A2571" s="471"/>
      <c r="B2571" s="2"/>
      <c r="C2571" s="402"/>
      <c r="D2571" s="402"/>
      <c r="E2571" s="402"/>
      <c r="F2571" s="402"/>
    </row>
    <row r="2572" spans="1:7" ht="15">
      <c r="A2572" s="471"/>
      <c r="B2572" s="2"/>
      <c r="C2572" s="402"/>
      <c r="D2572" s="402"/>
      <c r="E2572" s="402"/>
      <c r="F2572" s="402"/>
    </row>
    <row r="2573" spans="1:7" ht="15">
      <c r="A2573" s="471"/>
      <c r="B2573" s="194" t="str">
        <f>'Coef. resumen'!$B$30</f>
        <v>Julián Antonelli</v>
      </c>
      <c r="C2573" s="524"/>
      <c r="D2573" s="524"/>
      <c r="E2573" s="194" t="str">
        <f>'Coef. resumen'!$E$30</f>
        <v>Marcelo A. Pasquini</v>
      </c>
      <c r="F2573" s="402"/>
    </row>
    <row r="2574" spans="1:7" ht="15">
      <c r="A2574" s="471"/>
      <c r="B2574" s="194" t="str">
        <f>'Coef. resumen'!$B$31</f>
        <v>Ing. Civil M.P. 2161</v>
      </c>
      <c r="C2574" s="524"/>
      <c r="D2574" s="524"/>
      <c r="E2574" s="194" t="str">
        <f>'Coef. resumen'!$E$31</f>
        <v>Socio Gerente</v>
      </c>
      <c r="F2574" s="402"/>
    </row>
    <row r="2575" spans="1:7" ht="15">
      <c r="A2575" s="471"/>
      <c r="B2575" s="194" t="str">
        <f>'Coef. resumen'!$B$32</f>
        <v>Representante Técnico</v>
      </c>
      <c r="C2575" s="524"/>
      <c r="D2575" s="19"/>
      <c r="E2575" s="194" t="str">
        <f>'Coef. resumen'!$E$32</f>
        <v>Pasquini Construcciones SRL</v>
      </c>
      <c r="F2575" s="402"/>
    </row>
    <row r="2576" spans="1:7" ht="15">
      <c r="A2576" s="471"/>
      <c r="B2576" s="194"/>
      <c r="C2576" s="402"/>
      <c r="D2576" s="19"/>
      <c r="E2576" s="194"/>
      <c r="F2576" s="402"/>
    </row>
    <row r="2577" spans="1:9" ht="14.1" customHeight="1">
      <c r="A2577" s="477" t="s">
        <v>142</v>
      </c>
      <c r="B2577" s="613" t="str">
        <f>Presupuesto!B106</f>
        <v>Prov y montaje de Estación Transformadora, centro compacto 500KVA - MINIBLOK</v>
      </c>
      <c r="C2577" s="614"/>
      <c r="D2577" s="615"/>
      <c r="E2577" s="367" t="s">
        <v>143</v>
      </c>
      <c r="F2577" s="30" t="str">
        <f>Presupuesto!C106</f>
        <v>un</v>
      </c>
      <c r="G2577" s="1"/>
    </row>
    <row r="2578" spans="1:9" ht="14.1" customHeight="1">
      <c r="A2578" s="622" t="str">
        <f>Presupuesto!A106</f>
        <v>5.1.1</v>
      </c>
      <c r="B2578" s="616"/>
      <c r="C2578" s="617"/>
      <c r="D2578" s="618"/>
      <c r="E2578" s="367"/>
      <c r="F2578" s="367"/>
      <c r="G2578" s="1"/>
    </row>
    <row r="2579" spans="1:9" ht="14.1" customHeight="1">
      <c r="A2579" s="622"/>
      <c r="B2579" s="616"/>
      <c r="C2579" s="617"/>
      <c r="D2579" s="618"/>
      <c r="E2579" s="367"/>
      <c r="F2579" s="367"/>
      <c r="G2579" s="1"/>
    </row>
    <row r="2580" spans="1:9" ht="14.1" customHeight="1">
      <c r="A2580" s="623"/>
      <c r="B2580" s="619"/>
      <c r="C2580" s="620"/>
      <c r="D2580" s="621"/>
      <c r="E2580" s="367"/>
      <c r="F2580" s="367"/>
      <c r="G2580" s="1"/>
    </row>
    <row r="2581" spans="1:9" ht="14.1" customHeight="1">
      <c r="A2581" s="478"/>
      <c r="B2581" s="29"/>
      <c r="C2581" s="368"/>
      <c r="D2581" s="368"/>
      <c r="E2581" s="365"/>
      <c r="F2581" s="365"/>
      <c r="G2581" s="1"/>
    </row>
    <row r="2582" spans="1:9" ht="14.1" customHeight="1">
      <c r="A2582" s="624" t="s">
        <v>144</v>
      </c>
      <c r="B2582" s="624"/>
      <c r="C2582" s="624"/>
      <c r="D2582" s="624"/>
      <c r="E2582" s="624"/>
      <c r="F2582" s="624"/>
      <c r="G2582" s="1"/>
    </row>
    <row r="2583" spans="1:9" ht="14.1" customHeight="1">
      <c r="A2583" s="479"/>
      <c r="B2583" s="10"/>
      <c r="C2583" s="400"/>
      <c r="D2583" s="400"/>
      <c r="E2583" s="400"/>
      <c r="F2583" s="400"/>
      <c r="G2583" s="1"/>
    </row>
    <row r="2584" spans="1:9" ht="15.95" customHeight="1">
      <c r="A2584" s="480" t="s">
        <v>145</v>
      </c>
      <c r="B2584" s="11" t="s">
        <v>146</v>
      </c>
      <c r="C2584" s="11" t="s">
        <v>147</v>
      </c>
      <c r="D2584" s="11" t="s">
        <v>148</v>
      </c>
      <c r="E2584" s="12" t="s">
        <v>149</v>
      </c>
      <c r="F2584" s="11" t="s">
        <v>150</v>
      </c>
      <c r="G2584" s="1"/>
    </row>
    <row r="2585" spans="1:9" ht="14.1" customHeight="1">
      <c r="A2585" s="480">
        <v>1</v>
      </c>
      <c r="B2585" s="220" t="s">
        <v>1234</v>
      </c>
      <c r="C2585" s="221" t="s">
        <v>1026</v>
      </c>
      <c r="D2585" s="221">
        <v>1</v>
      </c>
      <c r="E2585" s="18">
        <f>56360*6*1.05</f>
        <v>355068</v>
      </c>
      <c r="F2585" s="375">
        <f>ROUND(D2585*E2585, 2)</f>
        <v>355068</v>
      </c>
      <c r="G2585" s="1"/>
    </row>
    <row r="2586" spans="1:9" ht="14.1" customHeight="1">
      <c r="A2586" s="480">
        <v>2</v>
      </c>
      <c r="B2586" s="220" t="s">
        <v>1235</v>
      </c>
      <c r="C2586" s="224" t="s">
        <v>1026</v>
      </c>
      <c r="D2586" s="224">
        <v>1</v>
      </c>
      <c r="E2586" s="18">
        <f>0.05*F2585</f>
        <v>17753.400000000001</v>
      </c>
      <c r="F2586" s="375">
        <f t="shared" ref="F2586:F2596" si="129">ROUND(D2586*E2586, 2)</f>
        <v>17753.400000000001</v>
      </c>
      <c r="G2586" s="1"/>
      <c r="I2586" s="455"/>
    </row>
    <row r="2587" spans="1:9" ht="14.1" customHeight="1">
      <c r="A2587" s="480">
        <v>3</v>
      </c>
      <c r="B2587" s="220" t="s">
        <v>1238</v>
      </c>
      <c r="C2587" s="224" t="s">
        <v>325</v>
      </c>
      <c r="D2587" s="224">
        <v>4</v>
      </c>
      <c r="E2587" s="18">
        <f>Equipos!S35</f>
        <v>193.33264462809916</v>
      </c>
      <c r="F2587" s="375">
        <f t="shared" si="129"/>
        <v>773.33</v>
      </c>
      <c r="G2587" s="1"/>
    </row>
    <row r="2588" spans="1:9" ht="14.1" customHeight="1">
      <c r="A2588" s="480">
        <v>4</v>
      </c>
      <c r="B2588" s="220"/>
      <c r="C2588" s="399"/>
      <c r="D2588" s="224"/>
      <c r="E2588" s="18"/>
      <c r="F2588" s="375">
        <f t="shared" si="129"/>
        <v>0</v>
      </c>
      <c r="G2588" s="1"/>
    </row>
    <row r="2589" spans="1:9" ht="14.1" customHeight="1">
      <c r="A2589" s="480">
        <v>5</v>
      </c>
      <c r="B2589" s="220"/>
      <c r="C2589" s="399"/>
      <c r="D2589" s="224"/>
      <c r="E2589" s="18"/>
      <c r="F2589" s="375">
        <f t="shared" si="129"/>
        <v>0</v>
      </c>
      <c r="G2589" s="1"/>
      <c r="I2589" s="3">
        <f>70000*6</f>
        <v>420000</v>
      </c>
    </row>
    <row r="2590" spans="1:9" ht="14.1" customHeight="1">
      <c r="A2590" s="480">
        <v>6</v>
      </c>
      <c r="B2590" s="220"/>
      <c r="C2590" s="399"/>
      <c r="D2590" s="224"/>
      <c r="E2590" s="18"/>
      <c r="F2590" s="375">
        <f t="shared" si="129"/>
        <v>0</v>
      </c>
      <c r="G2590" s="1"/>
    </row>
    <row r="2591" spans="1:9" ht="14.1" customHeight="1">
      <c r="A2591" s="480">
        <v>7</v>
      </c>
      <c r="B2591" s="220"/>
      <c r="C2591" s="399"/>
      <c r="D2591" s="224"/>
      <c r="E2591" s="18"/>
      <c r="F2591" s="375">
        <f t="shared" si="129"/>
        <v>0</v>
      </c>
      <c r="G2591" s="1"/>
    </row>
    <row r="2592" spans="1:9" ht="14.1" customHeight="1">
      <c r="A2592" s="480">
        <v>8</v>
      </c>
      <c r="B2592" s="220"/>
      <c r="C2592" s="399"/>
      <c r="D2592" s="224"/>
      <c r="E2592" s="18"/>
      <c r="F2592" s="375">
        <f t="shared" si="129"/>
        <v>0</v>
      </c>
      <c r="G2592" s="1"/>
    </row>
    <row r="2593" spans="1:7" ht="14.1" customHeight="1">
      <c r="A2593" s="480">
        <v>9</v>
      </c>
      <c r="B2593" s="220"/>
      <c r="C2593" s="399"/>
      <c r="D2593" s="224"/>
      <c r="E2593" s="18"/>
      <c r="F2593" s="375">
        <f t="shared" si="129"/>
        <v>0</v>
      </c>
      <c r="G2593" s="1"/>
    </row>
    <row r="2594" spans="1:7" ht="14.1" customHeight="1">
      <c r="A2594" s="480">
        <v>10</v>
      </c>
      <c r="B2594" s="13"/>
      <c r="C2594" s="11"/>
      <c r="D2594" s="14"/>
      <c r="E2594" s="18"/>
      <c r="F2594" s="375">
        <f t="shared" si="129"/>
        <v>0</v>
      </c>
      <c r="G2594" s="1"/>
    </row>
    <row r="2595" spans="1:7" ht="14.1" customHeight="1">
      <c r="A2595" s="480">
        <v>11</v>
      </c>
      <c r="B2595" s="13"/>
      <c r="C2595" s="11"/>
      <c r="D2595" s="11"/>
      <c r="E2595" s="18"/>
      <c r="F2595" s="375">
        <f t="shared" si="129"/>
        <v>0</v>
      </c>
      <c r="G2595" s="1"/>
    </row>
    <row r="2596" spans="1:7" ht="14.1" customHeight="1" thickBot="1">
      <c r="A2596" s="480">
        <v>12</v>
      </c>
      <c r="B2596" s="13"/>
      <c r="C2596" s="11"/>
      <c r="D2596" s="11"/>
      <c r="E2596" s="18"/>
      <c r="F2596" s="375">
        <f t="shared" si="129"/>
        <v>0</v>
      </c>
      <c r="G2596" s="1"/>
    </row>
    <row r="2597" spans="1:7" ht="14.1" customHeight="1" thickBot="1">
      <c r="A2597" s="481"/>
      <c r="B2597" s="5"/>
      <c r="C2597" s="367"/>
      <c r="D2597" s="367"/>
      <c r="E2597" s="367" t="s">
        <v>151</v>
      </c>
      <c r="F2597" s="376">
        <f>SUM(F2585:F2596)</f>
        <v>373594.73000000004</v>
      </c>
      <c r="G2597" s="1"/>
    </row>
    <row r="2598" spans="1:7" ht="14.1" customHeight="1">
      <c r="A2598" s="482"/>
      <c r="B2598" s="398"/>
      <c r="C2598" s="401"/>
      <c r="D2598" s="401"/>
      <c r="E2598" s="401"/>
      <c r="F2598" s="401"/>
      <c r="G2598" s="1"/>
    </row>
    <row r="2599" spans="1:7" ht="14.1" customHeight="1">
      <c r="A2599" s="625" t="s">
        <v>152</v>
      </c>
      <c r="B2599" s="625"/>
      <c r="C2599" s="625"/>
      <c r="D2599" s="625"/>
      <c r="E2599" s="625"/>
      <c r="F2599" s="625"/>
      <c r="G2599" s="1"/>
    </row>
    <row r="2600" spans="1:7" ht="14.1" customHeight="1">
      <c r="A2600" s="482"/>
      <c r="B2600" s="398"/>
      <c r="C2600" s="401"/>
      <c r="D2600" s="401"/>
      <c r="E2600" s="401"/>
      <c r="F2600" s="367"/>
      <c r="G2600" s="1"/>
    </row>
    <row r="2601" spans="1:7" ht="14.1" customHeight="1">
      <c r="A2601" s="480">
        <v>13</v>
      </c>
      <c r="B2601" s="17" t="s">
        <v>153</v>
      </c>
      <c r="C2601" s="11" t="s">
        <v>154</v>
      </c>
      <c r="D2601" s="14">
        <f>D2587</f>
        <v>4</v>
      </c>
      <c r="E2601" s="18">
        <f>'Mano de obra'!$J$20</f>
        <v>82.610000000000014</v>
      </c>
      <c r="F2601" s="375">
        <f>ROUND(D2601*E2601, 2)</f>
        <v>330.44</v>
      </c>
      <c r="G2601" s="1"/>
    </row>
    <row r="2602" spans="1:7" ht="14.1" customHeight="1">
      <c r="A2602" s="480">
        <v>14</v>
      </c>
      <c r="B2602" s="17" t="s">
        <v>155</v>
      </c>
      <c r="C2602" s="11" t="s">
        <v>154</v>
      </c>
      <c r="D2602" s="14">
        <v>8</v>
      </c>
      <c r="E2602" s="18">
        <f>'Mano de obra'!$J$21</f>
        <v>70.38</v>
      </c>
      <c r="F2602" s="375">
        <f t="shared" ref="F2602:F2605" si="130">ROUND(D2602*E2602, 2)</f>
        <v>563.04</v>
      </c>
      <c r="G2602" s="1"/>
    </row>
    <row r="2603" spans="1:7" ht="14.1" customHeight="1">
      <c r="A2603" s="480">
        <v>15</v>
      </c>
      <c r="B2603" s="17" t="s">
        <v>156</v>
      </c>
      <c r="C2603" s="11" t="s">
        <v>154</v>
      </c>
      <c r="D2603" s="14"/>
      <c r="E2603" s="18">
        <f>'Mano de obra'!$J$22</f>
        <v>64.78</v>
      </c>
      <c r="F2603" s="375">
        <f t="shared" si="130"/>
        <v>0</v>
      </c>
      <c r="G2603" s="1"/>
    </row>
    <row r="2604" spans="1:7" ht="14.1" customHeight="1">
      <c r="A2604" s="480">
        <v>16</v>
      </c>
      <c r="B2604" s="17" t="s">
        <v>157</v>
      </c>
      <c r="C2604" s="11" t="s">
        <v>154</v>
      </c>
      <c r="D2604" s="14">
        <v>16</v>
      </c>
      <c r="E2604" s="18">
        <f>'Mano de obra'!$J$23</f>
        <v>59.800000000000004</v>
      </c>
      <c r="F2604" s="375">
        <f t="shared" si="130"/>
        <v>956.8</v>
      </c>
      <c r="G2604" s="1"/>
    </row>
    <row r="2605" spans="1:7" ht="14.1" customHeight="1" thickBot="1">
      <c r="A2605" s="480">
        <v>17</v>
      </c>
      <c r="B2605" s="13"/>
      <c r="C2605" s="11"/>
      <c r="D2605" s="11"/>
      <c r="E2605" s="18"/>
      <c r="F2605" s="375">
        <f t="shared" si="130"/>
        <v>0</v>
      </c>
      <c r="G2605" s="1"/>
    </row>
    <row r="2606" spans="1:7" ht="14.1" customHeight="1" thickBot="1">
      <c r="A2606" s="483"/>
      <c r="B2606" s="398"/>
      <c r="C2606" s="401"/>
      <c r="D2606" s="401"/>
      <c r="E2606" s="367" t="s">
        <v>158</v>
      </c>
      <c r="F2606" s="376">
        <f>SUM(F2601:F2605)</f>
        <v>1850.28</v>
      </c>
      <c r="G2606" s="1"/>
    </row>
    <row r="2607" spans="1:7" ht="14.1" customHeight="1" thickBot="1">
      <c r="A2607" s="484"/>
      <c r="B2607" s="398"/>
      <c r="C2607" s="401"/>
      <c r="D2607" s="401"/>
      <c r="E2607" s="401"/>
      <c r="F2607" s="367"/>
      <c r="G2607" s="1"/>
    </row>
    <row r="2608" spans="1:7" ht="14.1" customHeight="1" thickBot="1">
      <c r="A2608" s="480"/>
      <c r="B2608" s="142" t="s">
        <v>273</v>
      </c>
      <c r="C2608" s="369"/>
      <c r="D2608" s="369"/>
      <c r="E2608" s="377" t="s">
        <v>159</v>
      </c>
      <c r="F2608" s="376">
        <f>SUM(F2597+F2606)</f>
        <v>375445.01000000007</v>
      </c>
      <c r="G2608" s="1"/>
    </row>
    <row r="2609" spans="1:7" ht="15" customHeight="1">
      <c r="A2609" s="626"/>
      <c r="B2609" s="627" t="s">
        <v>274</v>
      </c>
      <c r="C2609" s="628"/>
      <c r="D2609" s="628"/>
      <c r="E2609" s="629" t="s">
        <v>275</v>
      </c>
      <c r="F2609" s="631">
        <f>ROUND(F2608*'Coef. resumen'!$F$23, 2)</f>
        <v>556409.5</v>
      </c>
    </row>
    <row r="2610" spans="1:7" ht="15" customHeight="1" thickBot="1">
      <c r="A2610" s="626"/>
      <c r="B2610" s="627"/>
      <c r="C2610" s="628"/>
      <c r="D2610" s="628"/>
      <c r="E2610" s="630"/>
      <c r="F2610" s="632"/>
    </row>
    <row r="2611" spans="1:7" ht="15">
      <c r="A2611" s="471"/>
      <c r="B2611" s="2"/>
      <c r="C2611" s="402"/>
      <c r="D2611" s="402"/>
      <c r="E2611" s="402"/>
      <c r="F2611" s="402"/>
    </row>
    <row r="2612" spans="1:7" ht="15">
      <c r="A2612" s="471"/>
      <c r="B2612" s="2"/>
      <c r="C2612" s="402"/>
      <c r="D2612" s="402"/>
      <c r="E2612" s="402"/>
      <c r="F2612" s="402"/>
    </row>
    <row r="2613" spans="1:7" ht="15">
      <c r="A2613" s="471"/>
      <c r="B2613" s="194" t="str">
        <f>'Coef. resumen'!$B$30</f>
        <v>Julián Antonelli</v>
      </c>
      <c r="C2613" s="524"/>
      <c r="D2613" s="524"/>
      <c r="E2613" s="194" t="str">
        <f>'Coef. resumen'!$E$30</f>
        <v>Marcelo A. Pasquini</v>
      </c>
      <c r="F2613" s="402"/>
    </row>
    <row r="2614" spans="1:7" ht="15">
      <c r="A2614" s="471"/>
      <c r="B2614" s="194" t="str">
        <f>'Coef. resumen'!$B$31</f>
        <v>Ing. Civil M.P. 2161</v>
      </c>
      <c r="C2614" s="524"/>
      <c r="D2614" s="524"/>
      <c r="E2614" s="194" t="str">
        <f>'Coef. resumen'!$E$31</f>
        <v>Socio Gerente</v>
      </c>
      <c r="F2614" s="402"/>
    </row>
    <row r="2615" spans="1:7" ht="15">
      <c r="A2615" s="471"/>
      <c r="B2615" s="194" t="str">
        <f>'Coef. resumen'!$B$32</f>
        <v>Representante Técnico</v>
      </c>
      <c r="C2615" s="524"/>
      <c r="D2615" s="19"/>
      <c r="E2615" s="194" t="str">
        <f>'Coef. resumen'!$E$32</f>
        <v>Pasquini Construcciones SRL</v>
      </c>
      <c r="F2615" s="402"/>
    </row>
    <row r="2616" spans="1:7" ht="15">
      <c r="A2616" s="471"/>
      <c r="B2616" s="194"/>
      <c r="C2616" s="402"/>
      <c r="D2616" s="19"/>
      <c r="E2616" s="194"/>
      <c r="F2616" s="402"/>
    </row>
    <row r="2617" spans="1:7" ht="14.1" customHeight="1">
      <c r="A2617" s="477" t="s">
        <v>142</v>
      </c>
      <c r="B2617" s="613" t="str">
        <f>Presupuesto!B110</f>
        <v xml:space="preserve">Provisión y montaje de estructura de suspensión de acero con brazo de alumbrado, con columna  T2-1372-8178 200/3                     </v>
      </c>
      <c r="C2617" s="614"/>
      <c r="D2617" s="615"/>
      <c r="E2617" s="367" t="s">
        <v>143</v>
      </c>
      <c r="F2617" s="30" t="str">
        <f>Presupuesto!C110</f>
        <v>Un</v>
      </c>
      <c r="G2617" s="1"/>
    </row>
    <row r="2618" spans="1:7" ht="14.1" customHeight="1">
      <c r="A2618" s="622" t="str">
        <f>Presupuesto!A110</f>
        <v>6.1.1</v>
      </c>
      <c r="B2618" s="616"/>
      <c r="C2618" s="617"/>
      <c r="D2618" s="618"/>
      <c r="E2618" s="367"/>
      <c r="F2618" s="367"/>
      <c r="G2618" s="1"/>
    </row>
    <row r="2619" spans="1:7" ht="14.1" customHeight="1">
      <c r="A2619" s="622"/>
      <c r="B2619" s="616"/>
      <c r="C2619" s="617"/>
      <c r="D2619" s="618"/>
      <c r="E2619" s="367"/>
      <c r="F2619" s="367"/>
      <c r="G2619" s="1"/>
    </row>
    <row r="2620" spans="1:7" ht="14.1" customHeight="1">
      <c r="A2620" s="623"/>
      <c r="B2620" s="619"/>
      <c r="C2620" s="620"/>
      <c r="D2620" s="621"/>
      <c r="E2620" s="367"/>
      <c r="F2620" s="367"/>
      <c r="G2620" s="1"/>
    </row>
    <row r="2621" spans="1:7" ht="14.1" customHeight="1">
      <c r="A2621" s="478"/>
      <c r="B2621" s="29"/>
      <c r="C2621" s="368"/>
      <c r="D2621" s="368"/>
      <c r="E2621" s="365"/>
      <c r="F2621" s="365"/>
      <c r="G2621" s="1"/>
    </row>
    <row r="2622" spans="1:7" ht="14.1" customHeight="1">
      <c r="A2622" s="624" t="s">
        <v>144</v>
      </c>
      <c r="B2622" s="624"/>
      <c r="C2622" s="624"/>
      <c r="D2622" s="624"/>
      <c r="E2622" s="624"/>
      <c r="F2622" s="624"/>
      <c r="G2622" s="1"/>
    </row>
    <row r="2623" spans="1:7" ht="14.1" customHeight="1">
      <c r="A2623" s="479"/>
      <c r="B2623" s="10"/>
      <c r="C2623" s="400"/>
      <c r="D2623" s="400"/>
      <c r="E2623" s="400"/>
      <c r="F2623" s="400"/>
      <c r="G2623" s="1"/>
    </row>
    <row r="2624" spans="1:7" ht="15.95" customHeight="1">
      <c r="A2624" s="480" t="s">
        <v>145</v>
      </c>
      <c r="B2624" s="11" t="s">
        <v>146</v>
      </c>
      <c r="C2624" s="11" t="s">
        <v>147</v>
      </c>
      <c r="D2624" s="11" t="s">
        <v>148</v>
      </c>
      <c r="E2624" s="12" t="s">
        <v>149</v>
      </c>
      <c r="F2624" s="11" t="s">
        <v>150</v>
      </c>
      <c r="G2624" s="1"/>
    </row>
    <row r="2625" spans="1:7" ht="14.1" customHeight="1">
      <c r="A2625" s="480">
        <v>1</v>
      </c>
      <c r="B2625" s="220" t="s">
        <v>1193</v>
      </c>
      <c r="C2625" s="221" t="s">
        <v>3</v>
      </c>
      <c r="D2625" s="221">
        <v>1</v>
      </c>
      <c r="E2625" s="18">
        <f>3290*1.05</f>
        <v>3454.5</v>
      </c>
      <c r="F2625" s="375">
        <f>ROUND(D2625*E2625, 2)</f>
        <v>3454.5</v>
      </c>
      <c r="G2625" s="1"/>
    </row>
    <row r="2626" spans="1:7" ht="14.1" customHeight="1">
      <c r="A2626" s="480">
        <v>2</v>
      </c>
      <c r="B2626" s="220" t="s">
        <v>1159</v>
      </c>
      <c r="C2626" s="224" t="s">
        <v>1026</v>
      </c>
      <c r="D2626" s="224">
        <v>1</v>
      </c>
      <c r="E2626" s="18">
        <f>'MAT 31-10-2013'!R$184*2</f>
        <v>502.9444444444444</v>
      </c>
      <c r="F2626" s="375">
        <f t="shared" ref="F2626:F2636" si="131">ROUND(D2626*E2626, 2)</f>
        <v>502.94</v>
      </c>
      <c r="G2626" s="1"/>
    </row>
    <row r="2627" spans="1:7" ht="14.1" customHeight="1">
      <c r="A2627" s="480">
        <v>3</v>
      </c>
      <c r="B2627" s="220" t="s">
        <v>1196</v>
      </c>
      <c r="C2627" s="399" t="s">
        <v>53</v>
      </c>
      <c r="D2627" s="224">
        <v>1</v>
      </c>
      <c r="E2627" s="18">
        <v>1500</v>
      </c>
      <c r="F2627" s="375">
        <f t="shared" si="131"/>
        <v>1500</v>
      </c>
      <c r="G2627" s="1"/>
    </row>
    <row r="2628" spans="1:7" ht="14.1" customHeight="1">
      <c r="A2628" s="480">
        <v>4</v>
      </c>
      <c r="B2628" s="220" t="s">
        <v>1194</v>
      </c>
      <c r="C2628" s="399" t="s">
        <v>325</v>
      </c>
      <c r="D2628" s="224">
        <v>0.3</v>
      </c>
      <c r="E2628" s="18">
        <f>Equipos!S$40</f>
        <v>276.87272727272727</v>
      </c>
      <c r="F2628" s="375">
        <f t="shared" si="131"/>
        <v>83.06</v>
      </c>
      <c r="G2628" s="1"/>
    </row>
    <row r="2629" spans="1:7" ht="14.1" customHeight="1">
      <c r="A2629" s="480">
        <v>5</v>
      </c>
      <c r="B2629" s="220" t="s">
        <v>1195</v>
      </c>
      <c r="C2629" s="399" t="s">
        <v>325</v>
      </c>
      <c r="D2629" s="224">
        <v>0.2</v>
      </c>
      <c r="E2629" s="18">
        <f>Equipos!S$39</f>
        <v>34.56</v>
      </c>
      <c r="F2629" s="375">
        <f t="shared" si="131"/>
        <v>6.91</v>
      </c>
      <c r="G2629" s="1"/>
    </row>
    <row r="2630" spans="1:7" ht="14.1" customHeight="1">
      <c r="A2630" s="480">
        <v>6</v>
      </c>
      <c r="B2630" s="220" t="s">
        <v>1176</v>
      </c>
      <c r="C2630" s="399" t="s">
        <v>325</v>
      </c>
      <c r="D2630" s="224">
        <v>0.3</v>
      </c>
      <c r="E2630" s="18">
        <f>Equipos!S$32</f>
        <v>8.1039256198347118</v>
      </c>
      <c r="F2630" s="375">
        <f t="shared" si="131"/>
        <v>2.4300000000000002</v>
      </c>
      <c r="G2630" s="1"/>
    </row>
    <row r="2631" spans="1:7" ht="14.1" customHeight="1">
      <c r="A2631" s="480">
        <v>7</v>
      </c>
      <c r="B2631" s="220" t="s">
        <v>1164</v>
      </c>
      <c r="C2631" s="399" t="s">
        <v>325</v>
      </c>
      <c r="D2631" s="224">
        <v>1</v>
      </c>
      <c r="E2631" s="18">
        <f>Equipos!S$35</f>
        <v>193.33264462809916</v>
      </c>
      <c r="F2631" s="375">
        <f t="shared" si="131"/>
        <v>193.33</v>
      </c>
      <c r="G2631" s="1"/>
    </row>
    <row r="2632" spans="1:7" ht="14.1" customHeight="1">
      <c r="A2632" s="480">
        <v>8</v>
      </c>
      <c r="B2632" s="220"/>
      <c r="C2632" s="399"/>
      <c r="D2632" s="224"/>
      <c r="E2632" s="18"/>
      <c r="F2632" s="375">
        <f t="shared" si="131"/>
        <v>0</v>
      </c>
      <c r="G2632" s="1"/>
    </row>
    <row r="2633" spans="1:7" ht="14.1" customHeight="1">
      <c r="A2633" s="480">
        <v>9</v>
      </c>
      <c r="B2633" s="220"/>
      <c r="C2633" s="399"/>
      <c r="D2633" s="224"/>
      <c r="E2633" s="18"/>
      <c r="F2633" s="375">
        <f t="shared" si="131"/>
        <v>0</v>
      </c>
      <c r="G2633" s="1"/>
    </row>
    <row r="2634" spans="1:7" ht="14.1" customHeight="1">
      <c r="A2634" s="480">
        <v>10</v>
      </c>
      <c r="B2634" s="13"/>
      <c r="C2634" s="11"/>
      <c r="D2634" s="14"/>
      <c r="E2634" s="18"/>
      <c r="F2634" s="375">
        <f t="shared" si="131"/>
        <v>0</v>
      </c>
      <c r="G2634" s="1"/>
    </row>
    <row r="2635" spans="1:7" ht="14.1" customHeight="1">
      <c r="A2635" s="480">
        <v>11</v>
      </c>
      <c r="B2635" s="13"/>
      <c r="C2635" s="11"/>
      <c r="D2635" s="11"/>
      <c r="E2635" s="18"/>
      <c r="F2635" s="375">
        <f t="shared" si="131"/>
        <v>0</v>
      </c>
      <c r="G2635" s="1"/>
    </row>
    <row r="2636" spans="1:7" ht="14.1" customHeight="1" thickBot="1">
      <c r="A2636" s="480">
        <v>12</v>
      </c>
      <c r="B2636" s="13"/>
      <c r="C2636" s="11"/>
      <c r="D2636" s="11"/>
      <c r="E2636" s="18"/>
      <c r="F2636" s="375">
        <f t="shared" si="131"/>
        <v>0</v>
      </c>
      <c r="G2636" s="1"/>
    </row>
    <row r="2637" spans="1:7" ht="14.1" customHeight="1" thickBot="1">
      <c r="A2637" s="481"/>
      <c r="B2637" s="5"/>
      <c r="C2637" s="367"/>
      <c r="D2637" s="367"/>
      <c r="E2637" s="367" t="s">
        <v>151</v>
      </c>
      <c r="F2637" s="376">
        <f>SUM(F2625:F2636)</f>
        <v>5743.170000000001</v>
      </c>
      <c r="G2637" s="1"/>
    </row>
    <row r="2638" spans="1:7" ht="14.1" customHeight="1">
      <c r="A2638" s="482"/>
      <c r="B2638" s="398"/>
      <c r="C2638" s="401"/>
      <c r="D2638" s="401"/>
      <c r="E2638" s="401"/>
      <c r="F2638" s="401"/>
      <c r="G2638" s="1"/>
    </row>
    <row r="2639" spans="1:7" ht="14.1" customHeight="1">
      <c r="A2639" s="625" t="s">
        <v>152</v>
      </c>
      <c r="B2639" s="625"/>
      <c r="C2639" s="625"/>
      <c r="D2639" s="625"/>
      <c r="E2639" s="625"/>
      <c r="F2639" s="625"/>
      <c r="G2639" s="1"/>
    </row>
    <row r="2640" spans="1:7" ht="14.1" customHeight="1">
      <c r="A2640" s="482"/>
      <c r="B2640" s="398"/>
      <c r="C2640" s="401"/>
      <c r="D2640" s="401"/>
      <c r="E2640" s="401"/>
      <c r="F2640" s="367"/>
      <c r="G2640" s="1"/>
    </row>
    <row r="2641" spans="1:7" ht="14.1" customHeight="1">
      <c r="A2641" s="480">
        <v>13</v>
      </c>
      <c r="B2641" s="17" t="s">
        <v>153</v>
      </c>
      <c r="C2641" s="11" t="s">
        <v>154</v>
      </c>
      <c r="D2641" s="14">
        <f>SUM(D2628:D2631)</f>
        <v>1.8</v>
      </c>
      <c r="E2641" s="18">
        <f>'Mano de obra'!$J$20</f>
        <v>82.610000000000014</v>
      </c>
      <c r="F2641" s="375">
        <f>ROUND(D2641*E2641, 2)</f>
        <v>148.69999999999999</v>
      </c>
      <c r="G2641" s="1"/>
    </row>
    <row r="2642" spans="1:7" ht="14.1" customHeight="1">
      <c r="A2642" s="480">
        <v>14</v>
      </c>
      <c r="B2642" s="17" t="s">
        <v>155</v>
      </c>
      <c r="C2642" s="11" t="s">
        <v>154</v>
      </c>
      <c r="D2642" s="14">
        <v>1.5</v>
      </c>
      <c r="E2642" s="18">
        <f>'Mano de obra'!$J$21</f>
        <v>70.38</v>
      </c>
      <c r="F2642" s="375">
        <f t="shared" ref="F2642:F2645" si="132">ROUND(D2642*E2642, 2)</f>
        <v>105.57</v>
      </c>
      <c r="G2642" s="1"/>
    </row>
    <row r="2643" spans="1:7" ht="14.1" customHeight="1">
      <c r="A2643" s="480">
        <v>15</v>
      </c>
      <c r="B2643" s="17" t="s">
        <v>156</v>
      </c>
      <c r="C2643" s="11" t="s">
        <v>154</v>
      </c>
      <c r="D2643" s="14"/>
      <c r="E2643" s="18">
        <f>'Mano de obra'!$J$22</f>
        <v>64.78</v>
      </c>
      <c r="F2643" s="375">
        <f t="shared" si="132"/>
        <v>0</v>
      </c>
      <c r="G2643" s="1"/>
    </row>
    <row r="2644" spans="1:7" ht="14.1" customHeight="1">
      <c r="A2644" s="480">
        <v>16</v>
      </c>
      <c r="B2644" s="17" t="s">
        <v>157</v>
      </c>
      <c r="C2644" s="11" t="s">
        <v>154</v>
      </c>
      <c r="D2644" s="14">
        <v>4</v>
      </c>
      <c r="E2644" s="18">
        <f>'Mano de obra'!$J$23</f>
        <v>59.800000000000004</v>
      </c>
      <c r="F2644" s="375">
        <f t="shared" si="132"/>
        <v>239.2</v>
      </c>
      <c r="G2644" s="1"/>
    </row>
    <row r="2645" spans="1:7" ht="14.1" customHeight="1" thickBot="1">
      <c r="A2645" s="480">
        <v>17</v>
      </c>
      <c r="B2645" s="13"/>
      <c r="C2645" s="11"/>
      <c r="D2645" s="11"/>
      <c r="E2645" s="18"/>
      <c r="F2645" s="375">
        <f t="shared" si="132"/>
        <v>0</v>
      </c>
      <c r="G2645" s="1"/>
    </row>
    <row r="2646" spans="1:7" ht="14.1" customHeight="1" thickBot="1">
      <c r="A2646" s="483"/>
      <c r="B2646" s="398"/>
      <c r="C2646" s="401"/>
      <c r="D2646" s="401"/>
      <c r="E2646" s="367" t="s">
        <v>158</v>
      </c>
      <c r="F2646" s="376">
        <f>SUM(F2641:F2645)</f>
        <v>493.46999999999997</v>
      </c>
      <c r="G2646" s="1"/>
    </row>
    <row r="2647" spans="1:7" ht="14.1" customHeight="1" thickBot="1">
      <c r="A2647" s="484"/>
      <c r="B2647" s="398"/>
      <c r="C2647" s="401"/>
      <c r="D2647" s="401"/>
      <c r="E2647" s="401"/>
      <c r="F2647" s="367"/>
      <c r="G2647" s="1"/>
    </row>
    <row r="2648" spans="1:7" ht="14.1" customHeight="1" thickBot="1">
      <c r="A2648" s="480"/>
      <c r="B2648" s="142" t="s">
        <v>273</v>
      </c>
      <c r="C2648" s="369"/>
      <c r="D2648" s="369"/>
      <c r="E2648" s="377" t="s">
        <v>159</v>
      </c>
      <c r="F2648" s="376">
        <f>SUM(F2637+F2646)</f>
        <v>6236.6400000000012</v>
      </c>
      <c r="G2648" s="1"/>
    </row>
    <row r="2649" spans="1:7" ht="15" customHeight="1">
      <c r="A2649" s="626"/>
      <c r="B2649" s="627" t="s">
        <v>274</v>
      </c>
      <c r="C2649" s="628"/>
      <c r="D2649" s="628"/>
      <c r="E2649" s="629" t="s">
        <v>275</v>
      </c>
      <c r="F2649" s="631">
        <f>ROUND(F2648*'Coef. resumen'!$F$23, 2)</f>
        <v>9242.7000000000007</v>
      </c>
    </row>
    <row r="2650" spans="1:7" ht="15" customHeight="1" thickBot="1">
      <c r="A2650" s="626"/>
      <c r="B2650" s="627"/>
      <c r="C2650" s="628"/>
      <c r="D2650" s="628"/>
      <c r="E2650" s="630"/>
      <c r="F2650" s="632"/>
    </row>
    <row r="2651" spans="1:7" ht="15">
      <c r="A2651" s="471"/>
      <c r="B2651" s="2"/>
      <c r="C2651" s="402"/>
      <c r="D2651" s="402"/>
      <c r="E2651" s="402"/>
      <c r="F2651" s="402"/>
    </row>
    <row r="2652" spans="1:7" ht="15">
      <c r="A2652" s="471"/>
      <c r="B2652" s="2"/>
      <c r="C2652" s="402"/>
      <c r="D2652" s="402"/>
      <c r="E2652" s="402"/>
      <c r="F2652" s="402"/>
    </row>
    <row r="2653" spans="1:7" ht="15">
      <c r="A2653" s="471"/>
      <c r="B2653" s="194" t="str">
        <f>'Coef. resumen'!$B$30</f>
        <v>Julián Antonelli</v>
      </c>
      <c r="C2653" s="524"/>
      <c r="D2653" s="524"/>
      <c r="E2653" s="194" t="str">
        <f>'Coef. resumen'!$E$30</f>
        <v>Marcelo A. Pasquini</v>
      </c>
      <c r="F2653" s="402"/>
    </row>
    <row r="2654" spans="1:7" ht="15">
      <c r="A2654" s="471"/>
      <c r="B2654" s="194" t="str">
        <f>'Coef. resumen'!$B$31</f>
        <v>Ing. Civil M.P. 2161</v>
      </c>
      <c r="C2654" s="524"/>
      <c r="D2654" s="524"/>
      <c r="E2654" s="194" t="str">
        <f>'Coef. resumen'!$E$31</f>
        <v>Socio Gerente</v>
      </c>
      <c r="F2654" s="402"/>
    </row>
    <row r="2655" spans="1:7" ht="15">
      <c r="A2655" s="471"/>
      <c r="B2655" s="194" t="str">
        <f>'Coef. resumen'!$B$32</f>
        <v>Representante Técnico</v>
      </c>
      <c r="C2655" s="524"/>
      <c r="D2655" s="19"/>
      <c r="E2655" s="194" t="str">
        <f>'Coef. resumen'!$E$32</f>
        <v>Pasquini Construcciones SRL</v>
      </c>
      <c r="F2655" s="402"/>
    </row>
    <row r="2656" spans="1:7" ht="15">
      <c r="A2656" s="471"/>
      <c r="B2656" s="194"/>
      <c r="C2656" s="402"/>
      <c r="D2656" s="19"/>
      <c r="E2656" s="194"/>
      <c r="F2656" s="402"/>
    </row>
    <row r="2657" spans="1:7" ht="14.1" customHeight="1">
      <c r="A2657" s="477" t="s">
        <v>142</v>
      </c>
      <c r="B2657" s="613" t="str">
        <f>Presupuesto!B111</f>
        <v xml:space="preserve">Provisión y montaje de estructura de retención de acero con brazo de alumbrado, con columna  T2-1372-8178 600/3                     </v>
      </c>
      <c r="C2657" s="614"/>
      <c r="D2657" s="615"/>
      <c r="E2657" s="367" t="s">
        <v>143</v>
      </c>
      <c r="F2657" s="30" t="str">
        <f>Presupuesto!C111</f>
        <v>Un</v>
      </c>
      <c r="G2657" s="1"/>
    </row>
    <row r="2658" spans="1:7" ht="14.1" customHeight="1">
      <c r="A2658" s="622" t="str">
        <f>Presupuesto!A111</f>
        <v>6.1.2</v>
      </c>
      <c r="B2658" s="616"/>
      <c r="C2658" s="617"/>
      <c r="D2658" s="618"/>
      <c r="E2658" s="367"/>
      <c r="F2658" s="367"/>
      <c r="G2658" s="1"/>
    </row>
    <row r="2659" spans="1:7" ht="14.1" customHeight="1">
      <c r="A2659" s="622"/>
      <c r="B2659" s="616"/>
      <c r="C2659" s="617"/>
      <c r="D2659" s="618"/>
      <c r="E2659" s="367"/>
      <c r="F2659" s="367"/>
      <c r="G2659" s="1"/>
    </row>
    <row r="2660" spans="1:7" ht="14.1" customHeight="1">
      <c r="A2660" s="623"/>
      <c r="B2660" s="619"/>
      <c r="C2660" s="620"/>
      <c r="D2660" s="621"/>
      <c r="E2660" s="367"/>
      <c r="F2660" s="367"/>
      <c r="G2660" s="1"/>
    </row>
    <row r="2661" spans="1:7" ht="14.1" customHeight="1">
      <c r="A2661" s="478"/>
      <c r="B2661" s="29"/>
      <c r="C2661" s="368"/>
      <c r="D2661" s="368"/>
      <c r="E2661" s="365"/>
      <c r="F2661" s="365"/>
      <c r="G2661" s="1"/>
    </row>
    <row r="2662" spans="1:7" ht="14.1" customHeight="1">
      <c r="A2662" s="624" t="s">
        <v>144</v>
      </c>
      <c r="B2662" s="624"/>
      <c r="C2662" s="624"/>
      <c r="D2662" s="624"/>
      <c r="E2662" s="624"/>
      <c r="F2662" s="624"/>
      <c r="G2662" s="1"/>
    </row>
    <row r="2663" spans="1:7" ht="14.1" customHeight="1">
      <c r="A2663" s="479"/>
      <c r="B2663" s="10"/>
      <c r="C2663" s="400"/>
      <c r="D2663" s="400"/>
      <c r="E2663" s="400"/>
      <c r="F2663" s="400"/>
      <c r="G2663" s="1"/>
    </row>
    <row r="2664" spans="1:7" ht="15.95" customHeight="1">
      <c r="A2664" s="480" t="s">
        <v>145</v>
      </c>
      <c r="B2664" s="11" t="s">
        <v>146</v>
      </c>
      <c r="C2664" s="11" t="s">
        <v>147</v>
      </c>
      <c r="D2664" s="11" t="s">
        <v>148</v>
      </c>
      <c r="E2664" s="12" t="s">
        <v>149</v>
      </c>
      <c r="F2664" s="11" t="s">
        <v>150</v>
      </c>
      <c r="G2664" s="1"/>
    </row>
    <row r="2665" spans="1:7" ht="14.1" customHeight="1">
      <c r="A2665" s="480">
        <v>1</v>
      </c>
      <c r="B2665" s="220" t="s">
        <v>1197</v>
      </c>
      <c r="C2665" s="221" t="s">
        <v>3</v>
      </c>
      <c r="D2665" s="221">
        <v>1</v>
      </c>
      <c r="E2665" s="18">
        <f>4590*1.05</f>
        <v>4819.5</v>
      </c>
      <c r="F2665" s="375">
        <f>ROUND(D2665*E2665, 2)</f>
        <v>4819.5</v>
      </c>
      <c r="G2665" s="1"/>
    </row>
    <row r="2666" spans="1:7" ht="14.1" customHeight="1">
      <c r="A2666" s="480">
        <v>2</v>
      </c>
      <c r="B2666" s="220" t="s">
        <v>1159</v>
      </c>
      <c r="C2666" s="224" t="s">
        <v>1026</v>
      </c>
      <c r="D2666" s="224">
        <v>1</v>
      </c>
      <c r="E2666" s="18">
        <f>'MAT 31-10-2013'!R$184*2</f>
        <v>502.9444444444444</v>
      </c>
      <c r="F2666" s="375">
        <f t="shared" ref="F2666:F2676" si="133">ROUND(D2666*E2666, 2)</f>
        <v>502.94</v>
      </c>
      <c r="G2666" s="1"/>
    </row>
    <row r="2667" spans="1:7" ht="14.1" customHeight="1">
      <c r="A2667" s="480">
        <v>3</v>
      </c>
      <c r="B2667" s="220" t="s">
        <v>1196</v>
      </c>
      <c r="C2667" s="399" t="s">
        <v>53</v>
      </c>
      <c r="D2667" s="224">
        <v>1</v>
      </c>
      <c r="E2667" s="18">
        <v>1500</v>
      </c>
      <c r="F2667" s="375">
        <f t="shared" si="133"/>
        <v>1500</v>
      </c>
      <c r="G2667" s="1"/>
    </row>
    <row r="2668" spans="1:7" ht="14.1" customHeight="1">
      <c r="A2668" s="480">
        <v>4</v>
      </c>
      <c r="B2668" s="220" t="s">
        <v>1194</v>
      </c>
      <c r="C2668" s="399" t="s">
        <v>325</v>
      </c>
      <c r="D2668" s="224">
        <v>0.3</v>
      </c>
      <c r="E2668" s="18">
        <f>Equipos!S$40</f>
        <v>276.87272727272727</v>
      </c>
      <c r="F2668" s="375">
        <f t="shared" si="133"/>
        <v>83.06</v>
      </c>
      <c r="G2668" s="1"/>
    </row>
    <row r="2669" spans="1:7" ht="14.1" customHeight="1">
      <c r="A2669" s="480">
        <v>5</v>
      </c>
      <c r="B2669" s="220" t="s">
        <v>1195</v>
      </c>
      <c r="C2669" s="399" t="s">
        <v>325</v>
      </c>
      <c r="D2669" s="224">
        <v>0.2</v>
      </c>
      <c r="E2669" s="18">
        <f>Equipos!S$39</f>
        <v>34.56</v>
      </c>
      <c r="F2669" s="375">
        <f t="shared" si="133"/>
        <v>6.91</v>
      </c>
      <c r="G2669" s="1"/>
    </row>
    <row r="2670" spans="1:7" ht="14.1" customHeight="1">
      <c r="A2670" s="480">
        <v>6</v>
      </c>
      <c r="B2670" s="220" t="s">
        <v>1176</v>
      </c>
      <c r="C2670" s="399" t="s">
        <v>325</v>
      </c>
      <c r="D2670" s="224">
        <v>0.3</v>
      </c>
      <c r="E2670" s="18">
        <f>Equipos!S$32</f>
        <v>8.1039256198347118</v>
      </c>
      <c r="F2670" s="375">
        <f t="shared" si="133"/>
        <v>2.4300000000000002</v>
      </c>
      <c r="G2670" s="1"/>
    </row>
    <row r="2671" spans="1:7" ht="14.1" customHeight="1">
      <c r="A2671" s="480">
        <v>7</v>
      </c>
      <c r="B2671" s="220" t="s">
        <v>1164</v>
      </c>
      <c r="C2671" s="399" t="s">
        <v>325</v>
      </c>
      <c r="D2671" s="224">
        <v>1</v>
      </c>
      <c r="E2671" s="18">
        <f>Equipos!S$35</f>
        <v>193.33264462809916</v>
      </c>
      <c r="F2671" s="375">
        <f t="shared" si="133"/>
        <v>193.33</v>
      </c>
      <c r="G2671" s="1"/>
    </row>
    <row r="2672" spans="1:7" ht="14.1" customHeight="1">
      <c r="A2672" s="480">
        <v>8</v>
      </c>
      <c r="B2672" s="220"/>
      <c r="C2672" s="399"/>
      <c r="D2672" s="224"/>
      <c r="E2672" s="18"/>
      <c r="F2672" s="375">
        <f t="shared" si="133"/>
        <v>0</v>
      </c>
      <c r="G2672" s="1"/>
    </row>
    <row r="2673" spans="1:7" ht="14.1" customHeight="1">
      <c r="A2673" s="480">
        <v>9</v>
      </c>
      <c r="B2673" s="220"/>
      <c r="C2673" s="399"/>
      <c r="D2673" s="224"/>
      <c r="E2673" s="18"/>
      <c r="F2673" s="375">
        <f t="shared" si="133"/>
        <v>0</v>
      </c>
      <c r="G2673" s="1"/>
    </row>
    <row r="2674" spans="1:7" ht="14.1" customHeight="1">
      <c r="A2674" s="480">
        <v>10</v>
      </c>
      <c r="B2674" s="13"/>
      <c r="C2674" s="11"/>
      <c r="D2674" s="14"/>
      <c r="E2674" s="18"/>
      <c r="F2674" s="375">
        <f t="shared" si="133"/>
        <v>0</v>
      </c>
      <c r="G2674" s="1"/>
    </row>
    <row r="2675" spans="1:7" ht="14.1" customHeight="1">
      <c r="A2675" s="480">
        <v>11</v>
      </c>
      <c r="B2675" s="13"/>
      <c r="C2675" s="11"/>
      <c r="D2675" s="11"/>
      <c r="E2675" s="18"/>
      <c r="F2675" s="375">
        <f t="shared" si="133"/>
        <v>0</v>
      </c>
      <c r="G2675" s="1"/>
    </row>
    <row r="2676" spans="1:7" ht="14.1" customHeight="1" thickBot="1">
      <c r="A2676" s="480">
        <v>12</v>
      </c>
      <c r="B2676" s="13"/>
      <c r="C2676" s="11"/>
      <c r="D2676" s="11"/>
      <c r="E2676" s="18"/>
      <c r="F2676" s="375">
        <f t="shared" si="133"/>
        <v>0</v>
      </c>
      <c r="G2676" s="1"/>
    </row>
    <row r="2677" spans="1:7" ht="14.1" customHeight="1" thickBot="1">
      <c r="A2677" s="481"/>
      <c r="B2677" s="5"/>
      <c r="C2677" s="367"/>
      <c r="D2677" s="367"/>
      <c r="E2677" s="367" t="s">
        <v>151</v>
      </c>
      <c r="F2677" s="376">
        <f>SUM(F2665:F2676)</f>
        <v>7108.17</v>
      </c>
      <c r="G2677" s="1"/>
    </row>
    <row r="2678" spans="1:7" ht="14.1" customHeight="1">
      <c r="A2678" s="482"/>
      <c r="B2678" s="398"/>
      <c r="C2678" s="401"/>
      <c r="D2678" s="401"/>
      <c r="E2678" s="401"/>
      <c r="F2678" s="401"/>
      <c r="G2678" s="1"/>
    </row>
    <row r="2679" spans="1:7" ht="14.1" customHeight="1">
      <c r="A2679" s="625" t="s">
        <v>152</v>
      </c>
      <c r="B2679" s="625"/>
      <c r="C2679" s="625"/>
      <c r="D2679" s="625"/>
      <c r="E2679" s="625"/>
      <c r="F2679" s="625"/>
      <c r="G2679" s="1"/>
    </row>
    <row r="2680" spans="1:7" ht="14.1" customHeight="1">
      <c r="A2680" s="482"/>
      <c r="B2680" s="398"/>
      <c r="C2680" s="401"/>
      <c r="D2680" s="401"/>
      <c r="E2680" s="401"/>
      <c r="F2680" s="367"/>
      <c r="G2680" s="1"/>
    </row>
    <row r="2681" spans="1:7" ht="14.1" customHeight="1">
      <c r="A2681" s="480">
        <v>13</v>
      </c>
      <c r="B2681" s="17" t="s">
        <v>153</v>
      </c>
      <c r="C2681" s="11" t="s">
        <v>154</v>
      </c>
      <c r="D2681" s="14">
        <f>SUM(D2668:D2671)</f>
        <v>1.8</v>
      </c>
      <c r="E2681" s="18">
        <f>'Mano de obra'!$J$20</f>
        <v>82.610000000000014</v>
      </c>
      <c r="F2681" s="375">
        <f>ROUND(D2681*E2681, 2)</f>
        <v>148.69999999999999</v>
      </c>
      <c r="G2681" s="1"/>
    </row>
    <row r="2682" spans="1:7" ht="14.1" customHeight="1">
      <c r="A2682" s="480">
        <v>14</v>
      </c>
      <c r="B2682" s="17" t="s">
        <v>155</v>
      </c>
      <c r="C2682" s="11" t="s">
        <v>154</v>
      </c>
      <c r="D2682" s="14">
        <v>1.5</v>
      </c>
      <c r="E2682" s="18">
        <f>'Mano de obra'!$J$21</f>
        <v>70.38</v>
      </c>
      <c r="F2682" s="375">
        <f t="shared" ref="F2682:F2685" si="134">ROUND(D2682*E2682, 2)</f>
        <v>105.57</v>
      </c>
      <c r="G2682" s="1"/>
    </row>
    <row r="2683" spans="1:7" ht="14.1" customHeight="1">
      <c r="A2683" s="480">
        <v>15</v>
      </c>
      <c r="B2683" s="17" t="s">
        <v>156</v>
      </c>
      <c r="C2683" s="11" t="s">
        <v>154</v>
      </c>
      <c r="D2683" s="14"/>
      <c r="E2683" s="18">
        <f>'Mano de obra'!$J$22</f>
        <v>64.78</v>
      </c>
      <c r="F2683" s="375">
        <f t="shared" si="134"/>
        <v>0</v>
      </c>
      <c r="G2683" s="1"/>
    </row>
    <row r="2684" spans="1:7" ht="14.1" customHeight="1">
      <c r="A2684" s="480">
        <v>16</v>
      </c>
      <c r="B2684" s="17" t="s">
        <v>157</v>
      </c>
      <c r="C2684" s="11" t="s">
        <v>154</v>
      </c>
      <c r="D2684" s="14">
        <v>4</v>
      </c>
      <c r="E2684" s="18">
        <f>'Mano de obra'!$J$23</f>
        <v>59.800000000000004</v>
      </c>
      <c r="F2684" s="375">
        <f t="shared" si="134"/>
        <v>239.2</v>
      </c>
      <c r="G2684" s="1"/>
    </row>
    <row r="2685" spans="1:7" ht="14.1" customHeight="1" thickBot="1">
      <c r="A2685" s="480">
        <v>17</v>
      </c>
      <c r="B2685" s="13"/>
      <c r="C2685" s="11"/>
      <c r="D2685" s="11"/>
      <c r="E2685" s="18"/>
      <c r="F2685" s="375">
        <f t="shared" si="134"/>
        <v>0</v>
      </c>
      <c r="G2685" s="1"/>
    </row>
    <row r="2686" spans="1:7" ht="14.1" customHeight="1" thickBot="1">
      <c r="A2686" s="483"/>
      <c r="B2686" s="398"/>
      <c r="C2686" s="401"/>
      <c r="D2686" s="401"/>
      <c r="E2686" s="367" t="s">
        <v>158</v>
      </c>
      <c r="F2686" s="376">
        <f>SUM(F2681:F2685)</f>
        <v>493.46999999999997</v>
      </c>
      <c r="G2686" s="1"/>
    </row>
    <row r="2687" spans="1:7" ht="14.1" customHeight="1" thickBot="1">
      <c r="A2687" s="484"/>
      <c r="B2687" s="398"/>
      <c r="C2687" s="401"/>
      <c r="D2687" s="401"/>
      <c r="E2687" s="401"/>
      <c r="F2687" s="367"/>
      <c r="G2687" s="1"/>
    </row>
    <row r="2688" spans="1:7" ht="14.1" customHeight="1" thickBot="1">
      <c r="A2688" s="480"/>
      <c r="B2688" s="142" t="s">
        <v>273</v>
      </c>
      <c r="C2688" s="369"/>
      <c r="D2688" s="369"/>
      <c r="E2688" s="377" t="s">
        <v>159</v>
      </c>
      <c r="F2688" s="376">
        <f>SUM(F2677+F2686)</f>
        <v>7601.64</v>
      </c>
      <c r="G2688" s="1"/>
    </row>
    <row r="2689" spans="1:7" ht="15" customHeight="1">
      <c r="A2689" s="626"/>
      <c r="B2689" s="627" t="s">
        <v>274</v>
      </c>
      <c r="C2689" s="628"/>
      <c r="D2689" s="628"/>
      <c r="E2689" s="629" t="s">
        <v>275</v>
      </c>
      <c r="F2689" s="631">
        <f>ROUND(F2688*'Coef. resumen'!$F$23, 2)</f>
        <v>11265.63</v>
      </c>
    </row>
    <row r="2690" spans="1:7" ht="15" customHeight="1" thickBot="1">
      <c r="A2690" s="626"/>
      <c r="B2690" s="627"/>
      <c r="C2690" s="628"/>
      <c r="D2690" s="628"/>
      <c r="E2690" s="630"/>
      <c r="F2690" s="632"/>
    </row>
    <row r="2691" spans="1:7" ht="15">
      <c r="A2691" s="471"/>
      <c r="B2691" s="2"/>
      <c r="C2691" s="402"/>
      <c r="D2691" s="402"/>
      <c r="E2691" s="402"/>
      <c r="F2691" s="402"/>
    </row>
    <row r="2692" spans="1:7" ht="15">
      <c r="A2692" s="471"/>
      <c r="B2692" s="2"/>
      <c r="C2692" s="402"/>
      <c r="D2692" s="402"/>
      <c r="E2692" s="402"/>
      <c r="F2692" s="402"/>
    </row>
    <row r="2693" spans="1:7" ht="15">
      <c r="A2693" s="471"/>
      <c r="B2693" s="194" t="str">
        <f>'Coef. resumen'!$B$30</f>
        <v>Julián Antonelli</v>
      </c>
      <c r="C2693" s="524"/>
      <c r="D2693" s="524"/>
      <c r="E2693" s="194" t="str">
        <f>'Coef. resumen'!$E$30</f>
        <v>Marcelo A. Pasquini</v>
      </c>
      <c r="F2693" s="402"/>
    </row>
    <row r="2694" spans="1:7" ht="15">
      <c r="A2694" s="471"/>
      <c r="B2694" s="194" t="str">
        <f>'Coef. resumen'!$B$31</f>
        <v>Ing. Civil M.P. 2161</v>
      </c>
      <c r="C2694" s="524"/>
      <c r="D2694" s="524"/>
      <c r="E2694" s="194" t="str">
        <f>'Coef. resumen'!$E$31</f>
        <v>Socio Gerente</v>
      </c>
      <c r="F2694" s="402"/>
    </row>
    <row r="2695" spans="1:7" ht="15">
      <c r="A2695" s="471"/>
      <c r="B2695" s="194" t="str">
        <f>'Coef. resumen'!$B$32</f>
        <v>Representante Técnico</v>
      </c>
      <c r="C2695" s="524"/>
      <c r="D2695" s="19"/>
      <c r="E2695" s="194" t="str">
        <f>'Coef. resumen'!$E$32</f>
        <v>Pasquini Construcciones SRL</v>
      </c>
      <c r="F2695" s="402"/>
    </row>
    <row r="2696" spans="1:7" ht="15">
      <c r="A2696" s="471"/>
      <c r="B2696" s="194"/>
      <c r="C2696" s="402"/>
      <c r="D2696" s="19"/>
      <c r="E2696" s="194"/>
      <c r="F2696" s="402"/>
    </row>
    <row r="2697" spans="1:7" ht="14.1" customHeight="1">
      <c r="A2697" s="477" t="s">
        <v>142</v>
      </c>
      <c r="B2697" s="613" t="str">
        <f>Presupuesto!B112</f>
        <v xml:space="preserve">Provisión y montaje de estructura de retención de acero recta, con columna T2-1370-8317 - 200/3 - 7,00 mts libre.           </v>
      </c>
      <c r="C2697" s="614"/>
      <c r="D2697" s="615"/>
      <c r="E2697" s="367" t="s">
        <v>143</v>
      </c>
      <c r="F2697" s="30" t="str">
        <f>Presupuesto!C112</f>
        <v>Un</v>
      </c>
      <c r="G2697" s="1"/>
    </row>
    <row r="2698" spans="1:7" ht="14.1" customHeight="1">
      <c r="A2698" s="622" t="str">
        <f>Presupuesto!A112</f>
        <v>6.1.3</v>
      </c>
      <c r="B2698" s="616"/>
      <c r="C2698" s="617"/>
      <c r="D2698" s="618"/>
      <c r="E2698" s="367"/>
      <c r="F2698" s="367"/>
      <c r="G2698" s="1"/>
    </row>
    <row r="2699" spans="1:7" ht="14.1" customHeight="1">
      <c r="A2699" s="622"/>
      <c r="B2699" s="616"/>
      <c r="C2699" s="617"/>
      <c r="D2699" s="618"/>
      <c r="E2699" s="367"/>
      <c r="F2699" s="367"/>
      <c r="G2699" s="1"/>
    </row>
    <row r="2700" spans="1:7" ht="14.1" customHeight="1">
      <c r="A2700" s="623"/>
      <c r="B2700" s="619"/>
      <c r="C2700" s="620"/>
      <c r="D2700" s="621"/>
      <c r="E2700" s="367"/>
      <c r="F2700" s="367"/>
      <c r="G2700" s="1"/>
    </row>
    <row r="2701" spans="1:7" ht="14.1" customHeight="1">
      <c r="A2701" s="478"/>
      <c r="B2701" s="29"/>
      <c r="C2701" s="368"/>
      <c r="D2701" s="368"/>
      <c r="E2701" s="365"/>
      <c r="F2701" s="365"/>
      <c r="G2701" s="1"/>
    </row>
    <row r="2702" spans="1:7" ht="14.1" customHeight="1">
      <c r="A2702" s="624" t="s">
        <v>144</v>
      </c>
      <c r="B2702" s="624"/>
      <c r="C2702" s="624"/>
      <c r="D2702" s="624"/>
      <c r="E2702" s="624"/>
      <c r="F2702" s="624"/>
      <c r="G2702" s="1"/>
    </row>
    <row r="2703" spans="1:7" ht="14.1" customHeight="1">
      <c r="A2703" s="479"/>
      <c r="B2703" s="10"/>
      <c r="C2703" s="400"/>
      <c r="D2703" s="400"/>
      <c r="E2703" s="400"/>
      <c r="F2703" s="400"/>
      <c r="G2703" s="1"/>
    </row>
    <row r="2704" spans="1:7" ht="15.95" customHeight="1">
      <c r="A2704" s="480" t="s">
        <v>145</v>
      </c>
      <c r="B2704" s="11" t="s">
        <v>146</v>
      </c>
      <c r="C2704" s="11" t="s">
        <v>147</v>
      </c>
      <c r="D2704" s="11" t="s">
        <v>148</v>
      </c>
      <c r="E2704" s="12" t="s">
        <v>149</v>
      </c>
      <c r="F2704" s="11" t="s">
        <v>150</v>
      </c>
      <c r="G2704" s="1"/>
    </row>
    <row r="2705" spans="1:7" ht="14.1" customHeight="1">
      <c r="A2705" s="480">
        <v>1</v>
      </c>
      <c r="B2705" s="220" t="s">
        <v>1198</v>
      </c>
      <c r="C2705" s="221" t="s">
        <v>3</v>
      </c>
      <c r="D2705" s="221">
        <v>1</v>
      </c>
      <c r="E2705" s="18">
        <f>3990*1.05</f>
        <v>4189.5</v>
      </c>
      <c r="F2705" s="375">
        <f>ROUND(D2705*E2705, 2)</f>
        <v>4189.5</v>
      </c>
      <c r="G2705" s="1"/>
    </row>
    <row r="2706" spans="1:7" ht="14.1" customHeight="1">
      <c r="A2706" s="480">
        <v>2</v>
      </c>
      <c r="B2706" s="220" t="s">
        <v>1159</v>
      </c>
      <c r="C2706" s="224" t="s">
        <v>1026</v>
      </c>
      <c r="D2706" s="224">
        <v>1</v>
      </c>
      <c r="E2706" s="18">
        <f>'MAT 31-10-2013'!R$184*2</f>
        <v>502.9444444444444</v>
      </c>
      <c r="F2706" s="375">
        <f t="shared" ref="F2706:F2716" si="135">ROUND(D2706*E2706, 2)</f>
        <v>502.94</v>
      </c>
      <c r="G2706" s="1"/>
    </row>
    <row r="2707" spans="1:7" ht="14.1" customHeight="1">
      <c r="A2707" s="480">
        <v>3</v>
      </c>
      <c r="B2707" s="220" t="s">
        <v>1196</v>
      </c>
      <c r="C2707" s="399" t="s">
        <v>53</v>
      </c>
      <c r="D2707" s="224">
        <v>1</v>
      </c>
      <c r="E2707" s="18">
        <v>1500</v>
      </c>
      <c r="F2707" s="375">
        <f t="shared" si="135"/>
        <v>1500</v>
      </c>
      <c r="G2707" s="1"/>
    </row>
    <row r="2708" spans="1:7" ht="14.1" customHeight="1">
      <c r="A2708" s="480">
        <v>4</v>
      </c>
      <c r="B2708" s="220" t="s">
        <v>1194</v>
      </c>
      <c r="C2708" s="399" t="s">
        <v>325</v>
      </c>
      <c r="D2708" s="224">
        <v>0.3</v>
      </c>
      <c r="E2708" s="18">
        <f>Equipos!S$40</f>
        <v>276.87272727272727</v>
      </c>
      <c r="F2708" s="375">
        <f t="shared" si="135"/>
        <v>83.06</v>
      </c>
      <c r="G2708" s="1"/>
    </row>
    <row r="2709" spans="1:7" ht="14.1" customHeight="1">
      <c r="A2709" s="480">
        <v>5</v>
      </c>
      <c r="B2709" s="220" t="s">
        <v>1195</v>
      </c>
      <c r="C2709" s="399" t="s">
        <v>325</v>
      </c>
      <c r="D2709" s="224">
        <v>0.2</v>
      </c>
      <c r="E2709" s="18">
        <f>Equipos!S$39</f>
        <v>34.56</v>
      </c>
      <c r="F2709" s="375">
        <f t="shared" si="135"/>
        <v>6.91</v>
      </c>
      <c r="G2709" s="1"/>
    </row>
    <row r="2710" spans="1:7" ht="14.1" customHeight="1">
      <c r="A2710" s="480">
        <v>6</v>
      </c>
      <c r="B2710" s="220" t="s">
        <v>1176</v>
      </c>
      <c r="C2710" s="399" t="s">
        <v>325</v>
      </c>
      <c r="D2710" s="224">
        <v>0.3</v>
      </c>
      <c r="E2710" s="18">
        <f>Equipos!S$32</f>
        <v>8.1039256198347118</v>
      </c>
      <c r="F2710" s="375">
        <f t="shared" si="135"/>
        <v>2.4300000000000002</v>
      </c>
      <c r="G2710" s="1"/>
    </row>
    <row r="2711" spans="1:7" ht="14.1" customHeight="1">
      <c r="A2711" s="480">
        <v>7</v>
      </c>
      <c r="B2711" s="220" t="s">
        <v>1164</v>
      </c>
      <c r="C2711" s="399" t="s">
        <v>325</v>
      </c>
      <c r="D2711" s="224">
        <v>1</v>
      </c>
      <c r="E2711" s="18">
        <f>Equipos!S$35</f>
        <v>193.33264462809916</v>
      </c>
      <c r="F2711" s="375">
        <f t="shared" si="135"/>
        <v>193.33</v>
      </c>
      <c r="G2711" s="1"/>
    </row>
    <row r="2712" spans="1:7" ht="14.1" customHeight="1">
      <c r="A2712" s="480">
        <v>8</v>
      </c>
      <c r="B2712" s="220"/>
      <c r="C2712" s="399"/>
      <c r="D2712" s="224"/>
      <c r="E2712" s="18"/>
      <c r="F2712" s="375">
        <f t="shared" si="135"/>
        <v>0</v>
      </c>
      <c r="G2712" s="1"/>
    </row>
    <row r="2713" spans="1:7" ht="14.1" customHeight="1">
      <c r="A2713" s="480">
        <v>9</v>
      </c>
      <c r="B2713" s="220"/>
      <c r="C2713" s="399"/>
      <c r="D2713" s="224"/>
      <c r="E2713" s="18"/>
      <c r="F2713" s="375">
        <f t="shared" si="135"/>
        <v>0</v>
      </c>
      <c r="G2713" s="1"/>
    </row>
    <row r="2714" spans="1:7" ht="14.1" customHeight="1">
      <c r="A2714" s="480">
        <v>10</v>
      </c>
      <c r="B2714" s="13"/>
      <c r="C2714" s="11"/>
      <c r="D2714" s="14"/>
      <c r="E2714" s="18"/>
      <c r="F2714" s="375">
        <f t="shared" si="135"/>
        <v>0</v>
      </c>
      <c r="G2714" s="1"/>
    </row>
    <row r="2715" spans="1:7" ht="14.1" customHeight="1">
      <c r="A2715" s="480">
        <v>11</v>
      </c>
      <c r="B2715" s="13"/>
      <c r="C2715" s="11"/>
      <c r="D2715" s="11"/>
      <c r="E2715" s="18"/>
      <c r="F2715" s="375">
        <f t="shared" si="135"/>
        <v>0</v>
      </c>
      <c r="G2715" s="1"/>
    </row>
    <row r="2716" spans="1:7" ht="14.1" customHeight="1" thickBot="1">
      <c r="A2716" s="480">
        <v>12</v>
      </c>
      <c r="B2716" s="13"/>
      <c r="C2716" s="11"/>
      <c r="D2716" s="11"/>
      <c r="E2716" s="18"/>
      <c r="F2716" s="375">
        <f t="shared" si="135"/>
        <v>0</v>
      </c>
      <c r="G2716" s="1"/>
    </row>
    <row r="2717" spans="1:7" ht="14.1" customHeight="1" thickBot="1">
      <c r="A2717" s="481"/>
      <c r="B2717" s="5"/>
      <c r="C2717" s="367"/>
      <c r="D2717" s="367"/>
      <c r="E2717" s="367" t="s">
        <v>151</v>
      </c>
      <c r="F2717" s="376">
        <f>SUM(F2705:F2716)</f>
        <v>6478.17</v>
      </c>
      <c r="G2717" s="1"/>
    </row>
    <row r="2718" spans="1:7" ht="14.1" customHeight="1">
      <c r="A2718" s="482"/>
      <c r="B2718" s="398"/>
      <c r="C2718" s="401"/>
      <c r="D2718" s="401"/>
      <c r="E2718" s="401"/>
      <c r="F2718" s="401"/>
      <c r="G2718" s="1"/>
    </row>
    <row r="2719" spans="1:7" ht="14.1" customHeight="1">
      <c r="A2719" s="625" t="s">
        <v>152</v>
      </c>
      <c r="B2719" s="625"/>
      <c r="C2719" s="625"/>
      <c r="D2719" s="625"/>
      <c r="E2719" s="625"/>
      <c r="F2719" s="625"/>
      <c r="G2719" s="1"/>
    </row>
    <row r="2720" spans="1:7" ht="14.1" customHeight="1">
      <c r="A2720" s="482"/>
      <c r="B2720" s="398"/>
      <c r="C2720" s="401"/>
      <c r="D2720" s="401"/>
      <c r="E2720" s="401"/>
      <c r="F2720" s="367"/>
      <c r="G2720" s="1"/>
    </row>
    <row r="2721" spans="1:7" ht="14.1" customHeight="1">
      <c r="A2721" s="480">
        <v>13</v>
      </c>
      <c r="B2721" s="17" t="s">
        <v>153</v>
      </c>
      <c r="C2721" s="11" t="s">
        <v>154</v>
      </c>
      <c r="D2721" s="14">
        <f>SUM(D2708:D2711)</f>
        <v>1.8</v>
      </c>
      <c r="E2721" s="18">
        <f>'Mano de obra'!$J$20</f>
        <v>82.610000000000014</v>
      </c>
      <c r="F2721" s="375">
        <f>ROUND(D2721*E2721, 2)</f>
        <v>148.69999999999999</v>
      </c>
      <c r="G2721" s="1"/>
    </row>
    <row r="2722" spans="1:7" ht="14.1" customHeight="1">
      <c r="A2722" s="480">
        <v>14</v>
      </c>
      <c r="B2722" s="17" t="s">
        <v>155</v>
      </c>
      <c r="C2722" s="11" t="s">
        <v>154</v>
      </c>
      <c r="D2722" s="14">
        <v>1.5</v>
      </c>
      <c r="E2722" s="18">
        <f>'Mano de obra'!$J$21</f>
        <v>70.38</v>
      </c>
      <c r="F2722" s="375">
        <f t="shared" ref="F2722:F2725" si="136">ROUND(D2722*E2722, 2)</f>
        <v>105.57</v>
      </c>
      <c r="G2722" s="1"/>
    </row>
    <row r="2723" spans="1:7" ht="14.1" customHeight="1">
      <c r="A2723" s="480">
        <v>15</v>
      </c>
      <c r="B2723" s="17" t="s">
        <v>156</v>
      </c>
      <c r="C2723" s="11" t="s">
        <v>154</v>
      </c>
      <c r="D2723" s="14"/>
      <c r="E2723" s="18">
        <f>'Mano de obra'!$J$22</f>
        <v>64.78</v>
      </c>
      <c r="F2723" s="375">
        <f t="shared" si="136"/>
        <v>0</v>
      </c>
      <c r="G2723" s="1"/>
    </row>
    <row r="2724" spans="1:7" ht="14.1" customHeight="1">
      <c r="A2724" s="480">
        <v>16</v>
      </c>
      <c r="B2724" s="17" t="s">
        <v>157</v>
      </c>
      <c r="C2724" s="11" t="s">
        <v>154</v>
      </c>
      <c r="D2724" s="14">
        <v>4</v>
      </c>
      <c r="E2724" s="18">
        <f>'Mano de obra'!$J$23</f>
        <v>59.800000000000004</v>
      </c>
      <c r="F2724" s="375">
        <f t="shared" si="136"/>
        <v>239.2</v>
      </c>
      <c r="G2724" s="1"/>
    </row>
    <row r="2725" spans="1:7" ht="14.1" customHeight="1" thickBot="1">
      <c r="A2725" s="480">
        <v>17</v>
      </c>
      <c r="B2725" s="13"/>
      <c r="C2725" s="11"/>
      <c r="D2725" s="11"/>
      <c r="E2725" s="18"/>
      <c r="F2725" s="375">
        <f t="shared" si="136"/>
        <v>0</v>
      </c>
      <c r="G2725" s="1"/>
    </row>
    <row r="2726" spans="1:7" ht="14.1" customHeight="1" thickBot="1">
      <c r="A2726" s="483"/>
      <c r="B2726" s="398"/>
      <c r="C2726" s="401"/>
      <c r="D2726" s="401"/>
      <c r="E2726" s="367" t="s">
        <v>158</v>
      </c>
      <c r="F2726" s="376">
        <f>SUM(F2721:F2725)</f>
        <v>493.46999999999997</v>
      </c>
      <c r="G2726" s="1"/>
    </row>
    <row r="2727" spans="1:7" ht="14.1" customHeight="1" thickBot="1">
      <c r="A2727" s="484"/>
      <c r="B2727" s="398"/>
      <c r="C2727" s="401"/>
      <c r="D2727" s="401"/>
      <c r="E2727" s="401"/>
      <c r="F2727" s="367"/>
      <c r="G2727" s="1"/>
    </row>
    <row r="2728" spans="1:7" ht="14.1" customHeight="1" thickBot="1">
      <c r="A2728" s="480"/>
      <c r="B2728" s="142" t="s">
        <v>273</v>
      </c>
      <c r="C2728" s="369"/>
      <c r="D2728" s="369"/>
      <c r="E2728" s="377" t="s">
        <v>159</v>
      </c>
      <c r="F2728" s="376">
        <f>SUM(F2717+F2726)</f>
        <v>6971.64</v>
      </c>
      <c r="G2728" s="1"/>
    </row>
    <row r="2729" spans="1:7" ht="15" customHeight="1">
      <c r="A2729" s="626"/>
      <c r="B2729" s="627" t="s">
        <v>274</v>
      </c>
      <c r="C2729" s="628"/>
      <c r="D2729" s="628"/>
      <c r="E2729" s="629" t="s">
        <v>275</v>
      </c>
      <c r="F2729" s="631">
        <f>ROUND(F2728*'Coef. resumen'!$F$23, 2)</f>
        <v>10331.969999999999</v>
      </c>
    </row>
    <row r="2730" spans="1:7" ht="15" customHeight="1" thickBot="1">
      <c r="A2730" s="626"/>
      <c r="B2730" s="627"/>
      <c r="C2730" s="628"/>
      <c r="D2730" s="628"/>
      <c r="E2730" s="630"/>
      <c r="F2730" s="632"/>
    </row>
    <row r="2731" spans="1:7" ht="15">
      <c r="A2731" s="471"/>
      <c r="B2731" s="2"/>
      <c r="C2731" s="402"/>
      <c r="D2731" s="402"/>
      <c r="E2731" s="402"/>
      <c r="F2731" s="402"/>
    </row>
    <row r="2732" spans="1:7" ht="15">
      <c r="A2732" s="471"/>
      <c r="B2732" s="2"/>
      <c r="C2732" s="402"/>
      <c r="D2732" s="402"/>
      <c r="E2732" s="402"/>
      <c r="F2732" s="402"/>
    </row>
    <row r="2733" spans="1:7" ht="15">
      <c r="A2733" s="471"/>
      <c r="B2733" s="194" t="str">
        <f>'Coef. resumen'!$B$30</f>
        <v>Julián Antonelli</v>
      </c>
      <c r="C2733" s="524"/>
      <c r="D2733" s="524"/>
      <c r="E2733" s="194" t="str">
        <f>'Coef. resumen'!$E$30</f>
        <v>Marcelo A. Pasquini</v>
      </c>
      <c r="F2733" s="402"/>
    </row>
    <row r="2734" spans="1:7" ht="15">
      <c r="A2734" s="471"/>
      <c r="B2734" s="194" t="str">
        <f>'Coef. resumen'!$B$31</f>
        <v>Ing. Civil M.P. 2161</v>
      </c>
      <c r="C2734" s="524"/>
      <c r="D2734" s="524"/>
      <c r="E2734" s="194" t="str">
        <f>'Coef. resumen'!$E$31</f>
        <v>Socio Gerente</v>
      </c>
      <c r="F2734" s="402"/>
    </row>
    <row r="2735" spans="1:7" ht="15">
      <c r="A2735" s="471"/>
      <c r="B2735" s="194" t="str">
        <f>'Coef. resumen'!$B$32</f>
        <v>Representante Técnico</v>
      </c>
      <c r="C2735" s="524"/>
      <c r="D2735" s="19"/>
      <c r="E2735" s="194" t="str">
        <f>'Coef. resumen'!$E$32</f>
        <v>Pasquini Construcciones SRL</v>
      </c>
      <c r="F2735" s="402"/>
    </row>
    <row r="2736" spans="1:7" ht="15">
      <c r="A2736" s="471"/>
      <c r="B2736" s="194"/>
      <c r="C2736" s="402"/>
      <c r="D2736" s="19"/>
      <c r="E2736" s="194"/>
      <c r="F2736" s="402"/>
    </row>
    <row r="2737" spans="1:7" ht="14.1" customHeight="1">
      <c r="A2737" s="477" t="s">
        <v>142</v>
      </c>
      <c r="B2737" s="613" t="str">
        <f>Presupuesto!B113</f>
        <v xml:space="preserve">Provisión y montaje de estructura de retención de acero recta, con columna T2-1370-8317 - 600/3 - 7,00 mts libre.                 </v>
      </c>
      <c r="C2737" s="614"/>
      <c r="D2737" s="615"/>
      <c r="E2737" s="367" t="s">
        <v>143</v>
      </c>
      <c r="F2737" s="30" t="str">
        <f>Presupuesto!C113</f>
        <v>Un</v>
      </c>
      <c r="G2737" s="1"/>
    </row>
    <row r="2738" spans="1:7" ht="14.1" customHeight="1">
      <c r="A2738" s="622" t="str">
        <f>Presupuesto!A113</f>
        <v>6.1.4</v>
      </c>
      <c r="B2738" s="616"/>
      <c r="C2738" s="617"/>
      <c r="D2738" s="618"/>
      <c r="E2738" s="367"/>
      <c r="F2738" s="367"/>
      <c r="G2738" s="1"/>
    </row>
    <row r="2739" spans="1:7" ht="14.1" customHeight="1">
      <c r="A2739" s="622"/>
      <c r="B2739" s="616"/>
      <c r="C2739" s="617"/>
      <c r="D2739" s="618"/>
      <c r="E2739" s="367"/>
      <c r="F2739" s="367"/>
      <c r="G2739" s="1"/>
    </row>
    <row r="2740" spans="1:7" ht="14.1" customHeight="1">
      <c r="A2740" s="623"/>
      <c r="B2740" s="619"/>
      <c r="C2740" s="620"/>
      <c r="D2740" s="621"/>
      <c r="E2740" s="367"/>
      <c r="F2740" s="367"/>
      <c r="G2740" s="1"/>
    </row>
    <row r="2741" spans="1:7" ht="14.1" customHeight="1">
      <c r="A2741" s="478"/>
      <c r="B2741" s="29"/>
      <c r="C2741" s="368"/>
      <c r="D2741" s="368"/>
      <c r="E2741" s="365"/>
      <c r="F2741" s="365"/>
      <c r="G2741" s="1"/>
    </row>
    <row r="2742" spans="1:7" ht="14.1" customHeight="1">
      <c r="A2742" s="624" t="s">
        <v>144</v>
      </c>
      <c r="B2742" s="624"/>
      <c r="C2742" s="624"/>
      <c r="D2742" s="624"/>
      <c r="E2742" s="624"/>
      <c r="F2742" s="624"/>
      <c r="G2742" s="1"/>
    </row>
    <row r="2743" spans="1:7" ht="14.1" customHeight="1">
      <c r="A2743" s="479"/>
      <c r="B2743" s="10"/>
      <c r="C2743" s="400"/>
      <c r="D2743" s="400"/>
      <c r="E2743" s="400"/>
      <c r="F2743" s="400"/>
      <c r="G2743" s="1"/>
    </row>
    <row r="2744" spans="1:7" ht="15.95" customHeight="1">
      <c r="A2744" s="480" t="s">
        <v>145</v>
      </c>
      <c r="B2744" s="11" t="s">
        <v>146</v>
      </c>
      <c r="C2744" s="11" t="s">
        <v>147</v>
      </c>
      <c r="D2744" s="11" t="s">
        <v>148</v>
      </c>
      <c r="E2744" s="12" t="s">
        <v>149</v>
      </c>
      <c r="F2744" s="11" t="s">
        <v>150</v>
      </c>
      <c r="G2744" s="1"/>
    </row>
    <row r="2745" spans="1:7" ht="14.1" customHeight="1">
      <c r="A2745" s="480">
        <v>1</v>
      </c>
      <c r="B2745" s="220" t="s">
        <v>1199</v>
      </c>
      <c r="C2745" s="221" t="s">
        <v>3</v>
      </c>
      <c r="D2745" s="221">
        <v>1</v>
      </c>
      <c r="E2745" s="18">
        <f>4290*1.05</f>
        <v>4504.5</v>
      </c>
      <c r="F2745" s="375">
        <f>ROUND(D2745*E2745, 2)</f>
        <v>4504.5</v>
      </c>
      <c r="G2745" s="1"/>
    </row>
    <row r="2746" spans="1:7" ht="14.1" customHeight="1">
      <c r="A2746" s="480">
        <v>2</v>
      </c>
      <c r="B2746" s="220" t="s">
        <v>1159</v>
      </c>
      <c r="C2746" s="224" t="s">
        <v>1026</v>
      </c>
      <c r="D2746" s="224">
        <v>1</v>
      </c>
      <c r="E2746" s="18">
        <f>'MAT 31-10-2013'!R$184*2</f>
        <v>502.9444444444444</v>
      </c>
      <c r="F2746" s="375">
        <f t="shared" ref="F2746:F2756" si="137">ROUND(D2746*E2746, 2)</f>
        <v>502.94</v>
      </c>
      <c r="G2746" s="1"/>
    </row>
    <row r="2747" spans="1:7" ht="14.1" customHeight="1">
      <c r="A2747" s="480">
        <v>3</v>
      </c>
      <c r="B2747" s="220" t="s">
        <v>1196</v>
      </c>
      <c r="C2747" s="399" t="s">
        <v>53</v>
      </c>
      <c r="D2747" s="224">
        <v>1</v>
      </c>
      <c r="E2747" s="18">
        <v>1500</v>
      </c>
      <c r="F2747" s="375">
        <f t="shared" si="137"/>
        <v>1500</v>
      </c>
      <c r="G2747" s="1"/>
    </row>
    <row r="2748" spans="1:7" ht="14.1" customHeight="1">
      <c r="A2748" s="480">
        <v>4</v>
      </c>
      <c r="B2748" s="220" t="s">
        <v>1194</v>
      </c>
      <c r="C2748" s="399" t="s">
        <v>325</v>
      </c>
      <c r="D2748" s="224">
        <v>0.3</v>
      </c>
      <c r="E2748" s="18">
        <f>Equipos!S$40</f>
        <v>276.87272727272727</v>
      </c>
      <c r="F2748" s="375">
        <f t="shared" si="137"/>
        <v>83.06</v>
      </c>
      <c r="G2748" s="1"/>
    </row>
    <row r="2749" spans="1:7" ht="14.1" customHeight="1">
      <c r="A2749" s="480">
        <v>5</v>
      </c>
      <c r="B2749" s="220" t="s">
        <v>1195</v>
      </c>
      <c r="C2749" s="399" t="s">
        <v>325</v>
      </c>
      <c r="D2749" s="224">
        <v>0.2</v>
      </c>
      <c r="E2749" s="18">
        <f>Equipos!S$39</f>
        <v>34.56</v>
      </c>
      <c r="F2749" s="375">
        <f t="shared" si="137"/>
        <v>6.91</v>
      </c>
      <c r="G2749" s="1"/>
    </row>
    <row r="2750" spans="1:7" ht="14.1" customHeight="1">
      <c r="A2750" s="480">
        <v>6</v>
      </c>
      <c r="B2750" s="220" t="s">
        <v>1176</v>
      </c>
      <c r="C2750" s="399" t="s">
        <v>325</v>
      </c>
      <c r="D2750" s="224">
        <v>0.3</v>
      </c>
      <c r="E2750" s="18">
        <f>Equipos!S$32</f>
        <v>8.1039256198347118</v>
      </c>
      <c r="F2750" s="375">
        <f t="shared" si="137"/>
        <v>2.4300000000000002</v>
      </c>
      <c r="G2750" s="1"/>
    </row>
    <row r="2751" spans="1:7" ht="14.1" customHeight="1">
      <c r="A2751" s="480">
        <v>7</v>
      </c>
      <c r="B2751" s="220" t="s">
        <v>1164</v>
      </c>
      <c r="C2751" s="399" t="s">
        <v>325</v>
      </c>
      <c r="D2751" s="224">
        <v>1</v>
      </c>
      <c r="E2751" s="18">
        <f>Equipos!S$35</f>
        <v>193.33264462809916</v>
      </c>
      <c r="F2751" s="375">
        <f t="shared" si="137"/>
        <v>193.33</v>
      </c>
      <c r="G2751" s="1"/>
    </row>
    <row r="2752" spans="1:7" ht="14.1" customHeight="1">
      <c r="A2752" s="480">
        <v>8</v>
      </c>
      <c r="B2752" s="220"/>
      <c r="C2752" s="399"/>
      <c r="D2752" s="224"/>
      <c r="E2752" s="18"/>
      <c r="F2752" s="375">
        <f t="shared" si="137"/>
        <v>0</v>
      </c>
      <c r="G2752" s="1"/>
    </row>
    <row r="2753" spans="1:7" ht="14.1" customHeight="1">
      <c r="A2753" s="480">
        <v>9</v>
      </c>
      <c r="B2753" s="220"/>
      <c r="C2753" s="399"/>
      <c r="D2753" s="224"/>
      <c r="E2753" s="18"/>
      <c r="F2753" s="375">
        <f t="shared" si="137"/>
        <v>0</v>
      </c>
      <c r="G2753" s="1"/>
    </row>
    <row r="2754" spans="1:7" ht="14.1" customHeight="1">
      <c r="A2754" s="480">
        <v>10</v>
      </c>
      <c r="B2754" s="13"/>
      <c r="C2754" s="11"/>
      <c r="D2754" s="14"/>
      <c r="E2754" s="18"/>
      <c r="F2754" s="375">
        <f t="shared" si="137"/>
        <v>0</v>
      </c>
      <c r="G2754" s="1"/>
    </row>
    <row r="2755" spans="1:7" ht="14.1" customHeight="1">
      <c r="A2755" s="480">
        <v>11</v>
      </c>
      <c r="B2755" s="13"/>
      <c r="C2755" s="11"/>
      <c r="D2755" s="11"/>
      <c r="E2755" s="18"/>
      <c r="F2755" s="375">
        <f t="shared" si="137"/>
        <v>0</v>
      </c>
      <c r="G2755" s="1"/>
    </row>
    <row r="2756" spans="1:7" ht="14.1" customHeight="1" thickBot="1">
      <c r="A2756" s="480">
        <v>12</v>
      </c>
      <c r="B2756" s="13"/>
      <c r="C2756" s="11"/>
      <c r="D2756" s="11"/>
      <c r="E2756" s="18"/>
      <c r="F2756" s="375">
        <f t="shared" si="137"/>
        <v>0</v>
      </c>
      <c r="G2756" s="1"/>
    </row>
    <row r="2757" spans="1:7" ht="14.1" customHeight="1" thickBot="1">
      <c r="A2757" s="481"/>
      <c r="B2757" s="5"/>
      <c r="C2757" s="367"/>
      <c r="D2757" s="367"/>
      <c r="E2757" s="367" t="s">
        <v>151</v>
      </c>
      <c r="F2757" s="376">
        <f>SUM(F2745:F2756)</f>
        <v>6793.17</v>
      </c>
      <c r="G2757" s="1"/>
    </row>
    <row r="2758" spans="1:7" ht="14.1" customHeight="1">
      <c r="A2758" s="482"/>
      <c r="B2758" s="398"/>
      <c r="C2758" s="401"/>
      <c r="D2758" s="401"/>
      <c r="E2758" s="401"/>
      <c r="F2758" s="401"/>
      <c r="G2758" s="1"/>
    </row>
    <row r="2759" spans="1:7" ht="14.1" customHeight="1">
      <c r="A2759" s="625" t="s">
        <v>152</v>
      </c>
      <c r="B2759" s="625"/>
      <c r="C2759" s="625"/>
      <c r="D2759" s="625"/>
      <c r="E2759" s="625"/>
      <c r="F2759" s="625"/>
      <c r="G2759" s="1"/>
    </row>
    <row r="2760" spans="1:7" ht="14.1" customHeight="1">
      <c r="A2760" s="482"/>
      <c r="B2760" s="398"/>
      <c r="C2760" s="401"/>
      <c r="D2760" s="401"/>
      <c r="E2760" s="401"/>
      <c r="F2760" s="367"/>
      <c r="G2760" s="1"/>
    </row>
    <row r="2761" spans="1:7" ht="14.1" customHeight="1">
      <c r="A2761" s="480">
        <v>13</v>
      </c>
      <c r="B2761" s="17" t="s">
        <v>153</v>
      </c>
      <c r="C2761" s="11" t="s">
        <v>154</v>
      </c>
      <c r="D2761" s="14">
        <f>SUM(D2748:D2751)</f>
        <v>1.8</v>
      </c>
      <c r="E2761" s="18">
        <f>'Mano de obra'!$J$20</f>
        <v>82.610000000000014</v>
      </c>
      <c r="F2761" s="375">
        <f>ROUND(D2761*E2761, 2)</f>
        <v>148.69999999999999</v>
      </c>
      <c r="G2761" s="1"/>
    </row>
    <row r="2762" spans="1:7" ht="14.1" customHeight="1">
      <c r="A2762" s="480">
        <v>14</v>
      </c>
      <c r="B2762" s="17" t="s">
        <v>155</v>
      </c>
      <c r="C2762" s="11" t="s">
        <v>154</v>
      </c>
      <c r="D2762" s="14">
        <v>1.5</v>
      </c>
      <c r="E2762" s="18">
        <f>'Mano de obra'!$J$21</f>
        <v>70.38</v>
      </c>
      <c r="F2762" s="375">
        <f t="shared" ref="F2762:F2765" si="138">ROUND(D2762*E2762, 2)</f>
        <v>105.57</v>
      </c>
      <c r="G2762" s="1"/>
    </row>
    <row r="2763" spans="1:7" ht="14.1" customHeight="1">
      <c r="A2763" s="480">
        <v>15</v>
      </c>
      <c r="B2763" s="17" t="s">
        <v>156</v>
      </c>
      <c r="C2763" s="11" t="s">
        <v>154</v>
      </c>
      <c r="D2763" s="14"/>
      <c r="E2763" s="18">
        <f>'Mano de obra'!$J$22</f>
        <v>64.78</v>
      </c>
      <c r="F2763" s="375">
        <f t="shared" si="138"/>
        <v>0</v>
      </c>
      <c r="G2763" s="1"/>
    </row>
    <row r="2764" spans="1:7" ht="14.1" customHeight="1">
      <c r="A2764" s="480">
        <v>16</v>
      </c>
      <c r="B2764" s="17" t="s">
        <v>157</v>
      </c>
      <c r="C2764" s="11" t="s">
        <v>154</v>
      </c>
      <c r="D2764" s="14">
        <v>4</v>
      </c>
      <c r="E2764" s="18">
        <f>'Mano de obra'!$J$23</f>
        <v>59.800000000000004</v>
      </c>
      <c r="F2764" s="375">
        <f t="shared" si="138"/>
        <v>239.2</v>
      </c>
      <c r="G2764" s="1"/>
    </row>
    <row r="2765" spans="1:7" ht="14.1" customHeight="1" thickBot="1">
      <c r="A2765" s="480">
        <v>17</v>
      </c>
      <c r="B2765" s="13"/>
      <c r="C2765" s="11"/>
      <c r="D2765" s="11"/>
      <c r="E2765" s="18"/>
      <c r="F2765" s="375">
        <f t="shared" si="138"/>
        <v>0</v>
      </c>
      <c r="G2765" s="1"/>
    </row>
    <row r="2766" spans="1:7" ht="14.1" customHeight="1" thickBot="1">
      <c r="A2766" s="483"/>
      <c r="B2766" s="398"/>
      <c r="C2766" s="401"/>
      <c r="D2766" s="401"/>
      <c r="E2766" s="367" t="s">
        <v>158</v>
      </c>
      <c r="F2766" s="376">
        <f>SUM(F2761:F2765)</f>
        <v>493.46999999999997</v>
      </c>
      <c r="G2766" s="1"/>
    </row>
    <row r="2767" spans="1:7" ht="14.1" customHeight="1" thickBot="1">
      <c r="A2767" s="484"/>
      <c r="B2767" s="398"/>
      <c r="C2767" s="401"/>
      <c r="D2767" s="401"/>
      <c r="E2767" s="401"/>
      <c r="F2767" s="367"/>
      <c r="G2767" s="1"/>
    </row>
    <row r="2768" spans="1:7" ht="14.1" customHeight="1" thickBot="1">
      <c r="A2768" s="480"/>
      <c r="B2768" s="142" t="s">
        <v>273</v>
      </c>
      <c r="C2768" s="369"/>
      <c r="D2768" s="369"/>
      <c r="E2768" s="377" t="s">
        <v>159</v>
      </c>
      <c r="F2768" s="376">
        <f>SUM(F2757+F2766)</f>
        <v>7286.64</v>
      </c>
      <c r="G2768" s="1"/>
    </row>
    <row r="2769" spans="1:7" ht="15" customHeight="1">
      <c r="A2769" s="626"/>
      <c r="B2769" s="627" t="s">
        <v>274</v>
      </c>
      <c r="C2769" s="628"/>
      <c r="D2769" s="628"/>
      <c r="E2769" s="629" t="s">
        <v>275</v>
      </c>
      <c r="F2769" s="631">
        <f>ROUND(F2768*'Coef. resumen'!$F$23, 2)</f>
        <v>10798.8</v>
      </c>
    </row>
    <row r="2770" spans="1:7" ht="15" customHeight="1" thickBot="1">
      <c r="A2770" s="626"/>
      <c r="B2770" s="627"/>
      <c r="C2770" s="628"/>
      <c r="D2770" s="628"/>
      <c r="E2770" s="630"/>
      <c r="F2770" s="632"/>
    </row>
    <row r="2771" spans="1:7" ht="15">
      <c r="A2771" s="471"/>
      <c r="B2771" s="2"/>
      <c r="C2771" s="402"/>
      <c r="D2771" s="402"/>
      <c r="E2771" s="402"/>
      <c r="F2771" s="402"/>
    </row>
    <row r="2772" spans="1:7" ht="15">
      <c r="A2772" s="471"/>
      <c r="B2772" s="2"/>
      <c r="C2772" s="402"/>
      <c r="D2772" s="402"/>
      <c r="E2772" s="402"/>
      <c r="F2772" s="402"/>
    </row>
    <row r="2773" spans="1:7" ht="15">
      <c r="A2773" s="471"/>
      <c r="B2773" s="194" t="str">
        <f>'Coef. resumen'!$B$30</f>
        <v>Julián Antonelli</v>
      </c>
      <c r="C2773" s="524"/>
      <c r="D2773" s="524"/>
      <c r="E2773" s="194" t="str">
        <f>'Coef. resumen'!$E$30</f>
        <v>Marcelo A. Pasquini</v>
      </c>
      <c r="F2773" s="402"/>
    </row>
    <row r="2774" spans="1:7" ht="15">
      <c r="A2774" s="471"/>
      <c r="B2774" s="194" t="str">
        <f>'Coef. resumen'!$B$31</f>
        <v>Ing. Civil M.P. 2161</v>
      </c>
      <c r="C2774" s="524"/>
      <c r="D2774" s="524"/>
      <c r="E2774" s="194" t="str">
        <f>'Coef. resumen'!$E$31</f>
        <v>Socio Gerente</v>
      </c>
      <c r="F2774" s="402"/>
    </row>
    <row r="2775" spans="1:7" ht="15">
      <c r="A2775" s="471"/>
      <c r="B2775" s="194" t="str">
        <f>'Coef. resumen'!$B$32</f>
        <v>Representante Técnico</v>
      </c>
      <c r="C2775" s="524"/>
      <c r="D2775" s="19"/>
      <c r="E2775" s="194" t="str">
        <f>'Coef. resumen'!$E$32</f>
        <v>Pasquini Construcciones SRL</v>
      </c>
      <c r="F2775" s="402"/>
    </row>
    <row r="2776" spans="1:7" ht="15">
      <c r="A2776" s="471"/>
      <c r="B2776" s="194"/>
      <c r="C2776" s="402"/>
      <c r="D2776" s="19"/>
      <c r="E2776" s="194"/>
      <c r="F2776" s="402"/>
    </row>
    <row r="2777" spans="1:7" ht="14.1" customHeight="1">
      <c r="A2777" s="477" t="s">
        <v>142</v>
      </c>
      <c r="B2777" s="613" t="str">
        <f>Presupuesto!B115</f>
        <v xml:space="preserve">Provisión, tendido y montaje de conductor de aluminio preensamblado, 3X50+50.                       </v>
      </c>
      <c r="C2777" s="614"/>
      <c r="D2777" s="615"/>
      <c r="E2777" s="367" t="s">
        <v>143</v>
      </c>
      <c r="F2777" s="30" t="str">
        <f>Presupuesto!C115</f>
        <v>ml</v>
      </c>
      <c r="G2777" s="1"/>
    </row>
    <row r="2778" spans="1:7" ht="14.1" customHeight="1">
      <c r="A2778" s="622" t="str">
        <f>Presupuesto!A115</f>
        <v>6.2.1</v>
      </c>
      <c r="B2778" s="616"/>
      <c r="C2778" s="617"/>
      <c r="D2778" s="618"/>
      <c r="E2778" s="367"/>
      <c r="F2778" s="367"/>
      <c r="G2778" s="1"/>
    </row>
    <row r="2779" spans="1:7" ht="14.1" customHeight="1">
      <c r="A2779" s="622"/>
      <c r="B2779" s="616"/>
      <c r="C2779" s="617"/>
      <c r="D2779" s="618"/>
      <c r="E2779" s="367"/>
      <c r="F2779" s="367"/>
      <c r="G2779" s="1"/>
    </row>
    <row r="2780" spans="1:7" ht="14.1" customHeight="1">
      <c r="A2780" s="623"/>
      <c r="B2780" s="619"/>
      <c r="C2780" s="620"/>
      <c r="D2780" s="621"/>
      <c r="E2780" s="367"/>
      <c r="F2780" s="367"/>
      <c r="G2780" s="1"/>
    </row>
    <row r="2781" spans="1:7" ht="14.1" customHeight="1">
      <c r="A2781" s="478"/>
      <c r="B2781" s="29"/>
      <c r="C2781" s="368"/>
      <c r="D2781" s="368"/>
      <c r="E2781" s="365"/>
      <c r="F2781" s="365"/>
      <c r="G2781" s="1"/>
    </row>
    <row r="2782" spans="1:7" ht="14.1" customHeight="1">
      <c r="A2782" s="624" t="s">
        <v>144</v>
      </c>
      <c r="B2782" s="624"/>
      <c r="C2782" s="624"/>
      <c r="D2782" s="624"/>
      <c r="E2782" s="624"/>
      <c r="F2782" s="624"/>
      <c r="G2782" s="1"/>
    </row>
    <row r="2783" spans="1:7" ht="14.1" customHeight="1">
      <c r="A2783" s="479"/>
      <c r="B2783" s="10"/>
      <c r="C2783" s="408"/>
      <c r="D2783" s="408"/>
      <c r="E2783" s="408"/>
      <c r="F2783" s="408"/>
      <c r="G2783" s="1"/>
    </row>
    <row r="2784" spans="1:7" ht="15.95" customHeight="1">
      <c r="A2784" s="480" t="s">
        <v>145</v>
      </c>
      <c r="B2784" s="11" t="s">
        <v>146</v>
      </c>
      <c r="C2784" s="11" t="s">
        <v>147</v>
      </c>
      <c r="D2784" s="11" t="s">
        <v>148</v>
      </c>
      <c r="E2784" s="12" t="s">
        <v>149</v>
      </c>
      <c r="F2784" s="11" t="s">
        <v>150</v>
      </c>
      <c r="G2784" s="1"/>
    </row>
    <row r="2785" spans="1:7" ht="14.1" customHeight="1">
      <c r="A2785" s="480">
        <v>1</v>
      </c>
      <c r="B2785" s="418" t="s">
        <v>1219</v>
      </c>
      <c r="C2785" s="221" t="s">
        <v>12</v>
      </c>
      <c r="D2785" s="221">
        <v>1.05</v>
      </c>
      <c r="E2785" s="18">
        <v>21.9</v>
      </c>
      <c r="F2785" s="375">
        <f>ROUND(D2785*E2785, 2)</f>
        <v>23</v>
      </c>
      <c r="G2785" s="1"/>
    </row>
    <row r="2786" spans="1:7" ht="14.1" customHeight="1">
      <c r="A2786" s="480">
        <v>2</v>
      </c>
      <c r="B2786" s="411" t="s">
        <v>1218</v>
      </c>
      <c r="C2786" s="224" t="s">
        <v>1026</v>
      </c>
      <c r="D2786" s="224">
        <v>1</v>
      </c>
      <c r="E2786" s="18">
        <f>F2785*0.3</f>
        <v>6.8999999999999995</v>
      </c>
      <c r="F2786" s="375">
        <f t="shared" ref="F2786:F2796" si="139">ROUND(D2786*E2786, 2)</f>
        <v>6.9</v>
      </c>
      <c r="G2786" s="1"/>
    </row>
    <row r="2787" spans="1:7" ht="14.1" customHeight="1">
      <c r="A2787" s="480">
        <v>3</v>
      </c>
      <c r="B2787" s="220" t="s">
        <v>1164</v>
      </c>
      <c r="C2787" s="406" t="s">
        <v>325</v>
      </c>
      <c r="D2787" s="224">
        <v>0.04</v>
      </c>
      <c r="E2787" s="18">
        <f>Equipos!S$35</f>
        <v>193.33264462809916</v>
      </c>
      <c r="F2787" s="375">
        <f t="shared" si="139"/>
        <v>7.73</v>
      </c>
      <c r="G2787" s="1"/>
    </row>
    <row r="2788" spans="1:7" ht="14.1" customHeight="1">
      <c r="A2788" s="480">
        <v>4</v>
      </c>
      <c r="B2788" s="220"/>
      <c r="C2788" s="406"/>
      <c r="D2788" s="224"/>
      <c r="E2788" s="18"/>
      <c r="F2788" s="375">
        <f t="shared" si="139"/>
        <v>0</v>
      </c>
      <c r="G2788" s="1"/>
    </row>
    <row r="2789" spans="1:7" ht="14.1" customHeight="1">
      <c r="A2789" s="480">
        <v>5</v>
      </c>
      <c r="B2789" s="220"/>
      <c r="C2789" s="406"/>
      <c r="D2789" s="224"/>
      <c r="E2789" s="18"/>
      <c r="F2789" s="375">
        <f t="shared" si="139"/>
        <v>0</v>
      </c>
      <c r="G2789" s="1"/>
    </row>
    <row r="2790" spans="1:7" ht="14.1" customHeight="1">
      <c r="A2790" s="480">
        <v>6</v>
      </c>
      <c r="B2790" s="220"/>
      <c r="C2790" s="406"/>
      <c r="D2790" s="224"/>
      <c r="E2790" s="18"/>
      <c r="F2790" s="375">
        <f t="shared" si="139"/>
        <v>0</v>
      </c>
      <c r="G2790" s="1"/>
    </row>
    <row r="2791" spans="1:7" ht="14.1" customHeight="1">
      <c r="A2791" s="480">
        <v>7</v>
      </c>
      <c r="B2791" s="220"/>
      <c r="C2791" s="406"/>
      <c r="D2791" s="224"/>
      <c r="E2791" s="18"/>
      <c r="F2791" s="375">
        <f t="shared" si="139"/>
        <v>0</v>
      </c>
      <c r="G2791" s="1"/>
    </row>
    <row r="2792" spans="1:7" ht="14.1" customHeight="1">
      <c r="A2792" s="480">
        <v>8</v>
      </c>
      <c r="B2792" s="220"/>
      <c r="C2792" s="406"/>
      <c r="D2792" s="224"/>
      <c r="E2792" s="18"/>
      <c r="F2792" s="375">
        <f t="shared" si="139"/>
        <v>0</v>
      </c>
      <c r="G2792" s="1"/>
    </row>
    <row r="2793" spans="1:7" ht="14.1" customHeight="1">
      <c r="A2793" s="480">
        <v>9</v>
      </c>
      <c r="B2793" s="220"/>
      <c r="C2793" s="406"/>
      <c r="D2793" s="224"/>
      <c r="E2793" s="18"/>
      <c r="F2793" s="375">
        <f t="shared" si="139"/>
        <v>0</v>
      </c>
      <c r="G2793" s="1"/>
    </row>
    <row r="2794" spans="1:7" ht="14.1" customHeight="1">
      <c r="A2794" s="480">
        <v>10</v>
      </c>
      <c r="B2794" s="13"/>
      <c r="C2794" s="11"/>
      <c r="D2794" s="14"/>
      <c r="E2794" s="18"/>
      <c r="F2794" s="375">
        <f t="shared" si="139"/>
        <v>0</v>
      </c>
      <c r="G2794" s="1"/>
    </row>
    <row r="2795" spans="1:7" ht="14.1" customHeight="1">
      <c r="A2795" s="480">
        <v>11</v>
      </c>
      <c r="B2795" s="13"/>
      <c r="C2795" s="11"/>
      <c r="D2795" s="11"/>
      <c r="E2795" s="18"/>
      <c r="F2795" s="375">
        <f t="shared" si="139"/>
        <v>0</v>
      </c>
      <c r="G2795" s="1"/>
    </row>
    <row r="2796" spans="1:7" ht="14.1" customHeight="1" thickBot="1">
      <c r="A2796" s="480">
        <v>12</v>
      </c>
      <c r="B2796" s="13"/>
      <c r="C2796" s="11"/>
      <c r="D2796" s="11"/>
      <c r="E2796" s="18"/>
      <c r="F2796" s="375">
        <f t="shared" si="139"/>
        <v>0</v>
      </c>
      <c r="G2796" s="1"/>
    </row>
    <row r="2797" spans="1:7" ht="14.1" customHeight="1" thickBot="1">
      <c r="A2797" s="481"/>
      <c r="B2797" s="5"/>
      <c r="C2797" s="367"/>
      <c r="D2797" s="367"/>
      <c r="E2797" s="367" t="s">
        <v>151</v>
      </c>
      <c r="F2797" s="376">
        <f>SUM(F2785:F2796)</f>
        <v>37.629999999999995</v>
      </c>
      <c r="G2797" s="1"/>
    </row>
    <row r="2798" spans="1:7" ht="14.1" customHeight="1">
      <c r="A2798" s="482"/>
      <c r="B2798" s="405"/>
      <c r="C2798" s="409"/>
      <c r="D2798" s="409"/>
      <c r="E2798" s="409"/>
      <c r="F2798" s="409"/>
      <c r="G2798" s="1"/>
    </row>
    <row r="2799" spans="1:7" ht="14.1" customHeight="1">
      <c r="A2799" s="625" t="s">
        <v>152</v>
      </c>
      <c r="B2799" s="625"/>
      <c r="C2799" s="625"/>
      <c r="D2799" s="625"/>
      <c r="E2799" s="625"/>
      <c r="F2799" s="625"/>
      <c r="G2799" s="1"/>
    </row>
    <row r="2800" spans="1:7" ht="14.1" customHeight="1">
      <c r="A2800" s="482"/>
      <c r="B2800" s="405"/>
      <c r="C2800" s="409"/>
      <c r="D2800" s="409"/>
      <c r="E2800" s="409"/>
      <c r="F2800" s="367"/>
      <c r="G2800" s="1"/>
    </row>
    <row r="2801" spans="1:7" ht="14.1" customHeight="1">
      <c r="A2801" s="480">
        <v>13</v>
      </c>
      <c r="B2801" s="17" t="s">
        <v>153</v>
      </c>
      <c r="C2801" s="11" t="s">
        <v>154</v>
      </c>
      <c r="D2801" s="14">
        <f>D2787</f>
        <v>0.04</v>
      </c>
      <c r="E2801" s="18">
        <f>'Mano de obra'!$J$20</f>
        <v>82.610000000000014</v>
      </c>
      <c r="F2801" s="375">
        <f>ROUND(D2801*E2801, 2)</f>
        <v>3.3</v>
      </c>
      <c r="G2801" s="1"/>
    </row>
    <row r="2802" spans="1:7" ht="14.1" customHeight="1">
      <c r="A2802" s="480">
        <v>14</v>
      </c>
      <c r="B2802" s="17" t="s">
        <v>155</v>
      </c>
      <c r="C2802" s="11" t="s">
        <v>154</v>
      </c>
      <c r="D2802" s="14">
        <v>0.2</v>
      </c>
      <c r="E2802" s="18">
        <f>'Mano de obra'!$J$21</f>
        <v>70.38</v>
      </c>
      <c r="F2802" s="375">
        <f t="shared" ref="F2802:F2805" si="140">ROUND(D2802*E2802, 2)</f>
        <v>14.08</v>
      </c>
      <c r="G2802" s="1"/>
    </row>
    <row r="2803" spans="1:7" ht="14.1" customHeight="1">
      <c r="A2803" s="480">
        <v>15</v>
      </c>
      <c r="B2803" s="17" t="s">
        <v>156</v>
      </c>
      <c r="C2803" s="11" t="s">
        <v>154</v>
      </c>
      <c r="D2803" s="14"/>
      <c r="E2803" s="18">
        <f>'Mano de obra'!$J$22</f>
        <v>64.78</v>
      </c>
      <c r="F2803" s="375">
        <f t="shared" si="140"/>
        <v>0</v>
      </c>
      <c r="G2803" s="1"/>
    </row>
    <row r="2804" spans="1:7" ht="14.1" customHeight="1">
      <c r="A2804" s="480">
        <v>16</v>
      </c>
      <c r="B2804" s="17" t="s">
        <v>157</v>
      </c>
      <c r="C2804" s="11" t="s">
        <v>154</v>
      </c>
      <c r="D2804" s="14">
        <v>0.2</v>
      </c>
      <c r="E2804" s="18">
        <f>'Mano de obra'!$J$23</f>
        <v>59.800000000000004</v>
      </c>
      <c r="F2804" s="375">
        <f t="shared" si="140"/>
        <v>11.96</v>
      </c>
      <c r="G2804" s="1"/>
    </row>
    <row r="2805" spans="1:7" ht="14.1" customHeight="1" thickBot="1">
      <c r="A2805" s="480">
        <v>17</v>
      </c>
      <c r="B2805" s="13"/>
      <c r="C2805" s="11"/>
      <c r="D2805" s="11"/>
      <c r="E2805" s="18"/>
      <c r="F2805" s="375">
        <f t="shared" si="140"/>
        <v>0</v>
      </c>
      <c r="G2805" s="1"/>
    </row>
    <row r="2806" spans="1:7" ht="14.1" customHeight="1" thickBot="1">
      <c r="A2806" s="483"/>
      <c r="B2806" s="405"/>
      <c r="C2806" s="409"/>
      <c r="D2806" s="409"/>
      <c r="E2806" s="367" t="s">
        <v>158</v>
      </c>
      <c r="F2806" s="376">
        <f>SUM(F2801:F2805)</f>
        <v>29.34</v>
      </c>
      <c r="G2806" s="1"/>
    </row>
    <row r="2807" spans="1:7" ht="14.1" customHeight="1" thickBot="1">
      <c r="A2807" s="484"/>
      <c r="B2807" s="405"/>
      <c r="C2807" s="409"/>
      <c r="D2807" s="409"/>
      <c r="E2807" s="409"/>
      <c r="F2807" s="367"/>
      <c r="G2807" s="1"/>
    </row>
    <row r="2808" spans="1:7" ht="14.1" customHeight="1" thickBot="1">
      <c r="A2808" s="480"/>
      <c r="B2808" s="142" t="s">
        <v>273</v>
      </c>
      <c r="C2808" s="369"/>
      <c r="D2808" s="369"/>
      <c r="E2808" s="377" t="s">
        <v>159</v>
      </c>
      <c r="F2808" s="376">
        <f>SUM(F2797+F2806)</f>
        <v>66.97</v>
      </c>
      <c r="G2808" s="1"/>
    </row>
    <row r="2809" spans="1:7" ht="15" customHeight="1">
      <c r="A2809" s="626"/>
      <c r="B2809" s="627" t="s">
        <v>274</v>
      </c>
      <c r="C2809" s="628"/>
      <c r="D2809" s="628"/>
      <c r="E2809" s="629" t="s">
        <v>275</v>
      </c>
      <c r="F2809" s="631">
        <f>ROUND(F2808*'Coef. resumen'!$F$23, 2)</f>
        <v>99.25</v>
      </c>
    </row>
    <row r="2810" spans="1:7" ht="15" customHeight="1" thickBot="1">
      <c r="A2810" s="626"/>
      <c r="B2810" s="627"/>
      <c r="C2810" s="628"/>
      <c r="D2810" s="628"/>
      <c r="E2810" s="630"/>
      <c r="F2810" s="632"/>
    </row>
    <row r="2811" spans="1:7" ht="15">
      <c r="A2811" s="471"/>
      <c r="B2811" s="2"/>
      <c r="C2811" s="410"/>
      <c r="D2811" s="410"/>
      <c r="E2811" s="410"/>
      <c r="F2811" s="410"/>
    </row>
    <row r="2812" spans="1:7" ht="15">
      <c r="A2812" s="471"/>
      <c r="B2812" s="2"/>
      <c r="C2812" s="410"/>
      <c r="D2812" s="410"/>
      <c r="E2812" s="410"/>
      <c r="F2812" s="410"/>
    </row>
    <row r="2813" spans="1:7" ht="15">
      <c r="A2813" s="471"/>
      <c r="B2813" s="194" t="str">
        <f>'Coef. resumen'!$B$30</f>
        <v>Julián Antonelli</v>
      </c>
      <c r="C2813" s="524"/>
      <c r="D2813" s="524"/>
      <c r="E2813" s="194" t="str">
        <f>'Coef. resumen'!$E$30</f>
        <v>Marcelo A. Pasquini</v>
      </c>
      <c r="F2813" s="410"/>
    </row>
    <row r="2814" spans="1:7" ht="15">
      <c r="A2814" s="471"/>
      <c r="B2814" s="194" t="str">
        <f>'Coef. resumen'!$B$31</f>
        <v>Ing. Civil M.P. 2161</v>
      </c>
      <c r="C2814" s="524"/>
      <c r="D2814" s="524"/>
      <c r="E2814" s="194" t="str">
        <f>'Coef. resumen'!$E$31</f>
        <v>Socio Gerente</v>
      </c>
      <c r="F2814" s="410"/>
    </row>
    <row r="2815" spans="1:7" ht="15">
      <c r="A2815" s="471"/>
      <c r="B2815" s="194" t="str">
        <f>'Coef. resumen'!$B$32</f>
        <v>Representante Técnico</v>
      </c>
      <c r="C2815" s="524"/>
      <c r="D2815" s="19"/>
      <c r="E2815" s="194" t="str">
        <f>'Coef. resumen'!$E$32</f>
        <v>Pasquini Construcciones SRL</v>
      </c>
      <c r="F2815" s="410"/>
    </row>
    <row r="2816" spans="1:7" ht="15">
      <c r="A2816" s="471"/>
      <c r="B2816" s="194"/>
      <c r="C2816" s="410"/>
      <c r="D2816" s="19"/>
      <c r="E2816" s="194"/>
      <c r="F2816" s="410"/>
    </row>
    <row r="2817" spans="1:7" ht="14.1" customHeight="1">
      <c r="A2817" s="477" t="s">
        <v>142</v>
      </c>
      <c r="B2817" s="613" t="str">
        <f>Presupuesto!B116</f>
        <v xml:space="preserve">Provisión, tendido y montaje de conductor de aluminio preensamblado,  3X50+50+25.             </v>
      </c>
      <c r="C2817" s="614"/>
      <c r="D2817" s="615"/>
      <c r="E2817" s="367" t="s">
        <v>143</v>
      </c>
      <c r="F2817" s="30" t="str">
        <f>Presupuesto!C116</f>
        <v>ml</v>
      </c>
      <c r="G2817" s="1"/>
    </row>
    <row r="2818" spans="1:7" ht="14.1" customHeight="1">
      <c r="A2818" s="622" t="str">
        <f>Presupuesto!A116</f>
        <v>6.2.2</v>
      </c>
      <c r="B2818" s="616"/>
      <c r="C2818" s="617"/>
      <c r="D2818" s="618"/>
      <c r="E2818" s="367"/>
      <c r="F2818" s="367"/>
      <c r="G2818" s="1"/>
    </row>
    <row r="2819" spans="1:7" ht="14.1" customHeight="1">
      <c r="A2819" s="622"/>
      <c r="B2819" s="616"/>
      <c r="C2819" s="617"/>
      <c r="D2819" s="618"/>
      <c r="E2819" s="367"/>
      <c r="F2819" s="367"/>
      <c r="G2819" s="1"/>
    </row>
    <row r="2820" spans="1:7" ht="14.1" customHeight="1">
      <c r="A2820" s="623"/>
      <c r="B2820" s="619"/>
      <c r="C2820" s="620"/>
      <c r="D2820" s="621"/>
      <c r="E2820" s="367"/>
      <c r="F2820" s="367"/>
      <c r="G2820" s="1"/>
    </row>
    <row r="2821" spans="1:7" ht="14.1" customHeight="1">
      <c r="A2821" s="478"/>
      <c r="B2821" s="29"/>
      <c r="C2821" s="368"/>
      <c r="D2821" s="368"/>
      <c r="E2821" s="365"/>
      <c r="F2821" s="365"/>
      <c r="G2821" s="1"/>
    </row>
    <row r="2822" spans="1:7" ht="14.1" customHeight="1">
      <c r="A2822" s="624" t="s">
        <v>144</v>
      </c>
      <c r="B2822" s="624"/>
      <c r="C2822" s="624"/>
      <c r="D2822" s="624"/>
      <c r="E2822" s="624"/>
      <c r="F2822" s="624"/>
      <c r="G2822" s="1"/>
    </row>
    <row r="2823" spans="1:7" ht="14.1" customHeight="1">
      <c r="A2823" s="479"/>
      <c r="B2823" s="10"/>
      <c r="C2823" s="408"/>
      <c r="D2823" s="408"/>
      <c r="E2823" s="408"/>
      <c r="F2823" s="408"/>
      <c r="G2823" s="1"/>
    </row>
    <row r="2824" spans="1:7" ht="15.95" customHeight="1">
      <c r="A2824" s="480" t="s">
        <v>145</v>
      </c>
      <c r="B2824" s="11" t="s">
        <v>146</v>
      </c>
      <c r="C2824" s="11" t="s">
        <v>147</v>
      </c>
      <c r="D2824" s="11" t="s">
        <v>148</v>
      </c>
      <c r="E2824" s="12" t="s">
        <v>149</v>
      </c>
      <c r="F2824" s="11" t="s">
        <v>150</v>
      </c>
      <c r="G2824" s="1"/>
    </row>
    <row r="2825" spans="1:7" ht="14.1" customHeight="1">
      <c r="A2825" s="480">
        <v>1</v>
      </c>
      <c r="B2825" s="418" t="s">
        <v>1240</v>
      </c>
      <c r="C2825" s="221" t="s">
        <v>12</v>
      </c>
      <c r="D2825" s="221">
        <v>1.05</v>
      </c>
      <c r="E2825" s="18">
        <v>24.78</v>
      </c>
      <c r="F2825" s="375">
        <f>ROUND(D2825*E2825, 2)</f>
        <v>26.02</v>
      </c>
      <c r="G2825" s="1"/>
    </row>
    <row r="2826" spans="1:7" ht="14.1" customHeight="1">
      <c r="A2826" s="480">
        <v>2</v>
      </c>
      <c r="B2826" s="411" t="s">
        <v>1218</v>
      </c>
      <c r="C2826" s="224" t="s">
        <v>1026</v>
      </c>
      <c r="D2826" s="224">
        <v>1</v>
      </c>
      <c r="E2826" s="18">
        <f>F2825*0.3</f>
        <v>7.8059999999999992</v>
      </c>
      <c r="F2826" s="375">
        <f t="shared" ref="F2826:F2836" si="141">ROUND(D2826*E2826, 2)</f>
        <v>7.81</v>
      </c>
      <c r="G2826" s="1"/>
    </row>
    <row r="2827" spans="1:7" ht="14.1" customHeight="1">
      <c r="A2827" s="480">
        <v>3</v>
      </c>
      <c r="B2827" s="220" t="s">
        <v>1164</v>
      </c>
      <c r="C2827" s="406" t="s">
        <v>325</v>
      </c>
      <c r="D2827" s="224">
        <v>0.04</v>
      </c>
      <c r="E2827" s="18">
        <f>Equipos!S$35</f>
        <v>193.33264462809916</v>
      </c>
      <c r="F2827" s="375">
        <f t="shared" si="141"/>
        <v>7.73</v>
      </c>
      <c r="G2827" s="1"/>
    </row>
    <row r="2828" spans="1:7" ht="14.1" customHeight="1">
      <c r="A2828" s="480">
        <v>4</v>
      </c>
      <c r="B2828" s="220"/>
      <c r="C2828" s="406"/>
      <c r="D2828" s="224"/>
      <c r="E2828" s="18"/>
      <c r="F2828" s="375">
        <f t="shared" si="141"/>
        <v>0</v>
      </c>
      <c r="G2828" s="1"/>
    </row>
    <row r="2829" spans="1:7" ht="14.1" customHeight="1">
      <c r="A2829" s="480">
        <v>5</v>
      </c>
      <c r="B2829" s="220"/>
      <c r="C2829" s="406"/>
      <c r="D2829" s="224"/>
      <c r="E2829" s="18"/>
      <c r="F2829" s="375">
        <f t="shared" si="141"/>
        <v>0</v>
      </c>
      <c r="G2829" s="1"/>
    </row>
    <row r="2830" spans="1:7" ht="14.1" customHeight="1">
      <c r="A2830" s="480">
        <v>6</v>
      </c>
      <c r="B2830" s="220"/>
      <c r="C2830" s="406"/>
      <c r="D2830" s="224"/>
      <c r="E2830" s="18"/>
      <c r="F2830" s="375">
        <f t="shared" si="141"/>
        <v>0</v>
      </c>
      <c r="G2830" s="1"/>
    </row>
    <row r="2831" spans="1:7" ht="14.1" customHeight="1">
      <c r="A2831" s="480">
        <v>7</v>
      </c>
      <c r="B2831" s="220"/>
      <c r="C2831" s="406"/>
      <c r="D2831" s="224"/>
      <c r="E2831" s="18"/>
      <c r="F2831" s="375">
        <f t="shared" si="141"/>
        <v>0</v>
      </c>
      <c r="G2831" s="1"/>
    </row>
    <row r="2832" spans="1:7" ht="14.1" customHeight="1">
      <c r="A2832" s="480">
        <v>8</v>
      </c>
      <c r="B2832" s="220"/>
      <c r="C2832" s="406"/>
      <c r="D2832" s="224"/>
      <c r="E2832" s="18"/>
      <c r="F2832" s="375">
        <f t="shared" si="141"/>
        <v>0</v>
      </c>
      <c r="G2832" s="1"/>
    </row>
    <row r="2833" spans="1:7" ht="14.1" customHeight="1">
      <c r="A2833" s="480">
        <v>9</v>
      </c>
      <c r="B2833" s="220"/>
      <c r="C2833" s="406"/>
      <c r="D2833" s="224"/>
      <c r="E2833" s="18"/>
      <c r="F2833" s="375">
        <f t="shared" si="141"/>
        <v>0</v>
      </c>
      <c r="G2833" s="1"/>
    </row>
    <row r="2834" spans="1:7" ht="14.1" customHeight="1">
      <c r="A2834" s="480">
        <v>10</v>
      </c>
      <c r="B2834" s="13"/>
      <c r="C2834" s="11"/>
      <c r="D2834" s="14"/>
      <c r="E2834" s="18"/>
      <c r="F2834" s="375">
        <f t="shared" si="141"/>
        <v>0</v>
      </c>
      <c r="G2834" s="1"/>
    </row>
    <row r="2835" spans="1:7" ht="14.1" customHeight="1">
      <c r="A2835" s="480">
        <v>11</v>
      </c>
      <c r="B2835" s="13"/>
      <c r="C2835" s="11"/>
      <c r="D2835" s="11"/>
      <c r="E2835" s="18"/>
      <c r="F2835" s="375">
        <f t="shared" si="141"/>
        <v>0</v>
      </c>
      <c r="G2835" s="1"/>
    </row>
    <row r="2836" spans="1:7" ht="14.1" customHeight="1" thickBot="1">
      <c r="A2836" s="480">
        <v>12</v>
      </c>
      <c r="B2836" s="13"/>
      <c r="C2836" s="11"/>
      <c r="D2836" s="11"/>
      <c r="E2836" s="18"/>
      <c r="F2836" s="375">
        <f t="shared" si="141"/>
        <v>0</v>
      </c>
      <c r="G2836" s="1"/>
    </row>
    <row r="2837" spans="1:7" ht="14.1" customHeight="1" thickBot="1">
      <c r="A2837" s="481"/>
      <c r="B2837" s="5"/>
      <c r="C2837" s="367"/>
      <c r="D2837" s="367"/>
      <c r="E2837" s="367" t="s">
        <v>151</v>
      </c>
      <c r="F2837" s="376">
        <f>SUM(F2825:F2836)</f>
        <v>41.56</v>
      </c>
      <c r="G2837" s="1"/>
    </row>
    <row r="2838" spans="1:7" ht="14.1" customHeight="1">
      <c r="A2838" s="482"/>
      <c r="B2838" s="405"/>
      <c r="C2838" s="409"/>
      <c r="D2838" s="409"/>
      <c r="E2838" s="409"/>
      <c r="F2838" s="409"/>
      <c r="G2838" s="1"/>
    </row>
    <row r="2839" spans="1:7" ht="14.1" customHeight="1">
      <c r="A2839" s="625" t="s">
        <v>152</v>
      </c>
      <c r="B2839" s="625"/>
      <c r="C2839" s="625"/>
      <c r="D2839" s="625"/>
      <c r="E2839" s="625"/>
      <c r="F2839" s="625"/>
      <c r="G2839" s="1"/>
    </row>
    <row r="2840" spans="1:7" ht="14.1" customHeight="1">
      <c r="A2840" s="482"/>
      <c r="B2840" s="405"/>
      <c r="C2840" s="409"/>
      <c r="D2840" s="409"/>
      <c r="E2840" s="409"/>
      <c r="F2840" s="367"/>
      <c r="G2840" s="1"/>
    </row>
    <row r="2841" spans="1:7" ht="14.1" customHeight="1">
      <c r="A2841" s="480">
        <v>13</v>
      </c>
      <c r="B2841" s="17" t="s">
        <v>153</v>
      </c>
      <c r="C2841" s="11" t="s">
        <v>154</v>
      </c>
      <c r="D2841" s="14">
        <f>D2827</f>
        <v>0.04</v>
      </c>
      <c r="E2841" s="18">
        <f>'Mano de obra'!$J$20</f>
        <v>82.610000000000014</v>
      </c>
      <c r="F2841" s="375">
        <f>ROUND(D2841*E2841, 2)</f>
        <v>3.3</v>
      </c>
      <c r="G2841" s="1"/>
    </row>
    <row r="2842" spans="1:7" ht="14.1" customHeight="1">
      <c r="A2842" s="480">
        <v>14</v>
      </c>
      <c r="B2842" s="17" t="s">
        <v>155</v>
      </c>
      <c r="C2842" s="11" t="s">
        <v>154</v>
      </c>
      <c r="D2842" s="14">
        <v>0.2</v>
      </c>
      <c r="E2842" s="18">
        <f>'Mano de obra'!$J$21</f>
        <v>70.38</v>
      </c>
      <c r="F2842" s="375">
        <f t="shared" ref="F2842:F2845" si="142">ROUND(D2842*E2842, 2)</f>
        <v>14.08</v>
      </c>
      <c r="G2842" s="1"/>
    </row>
    <row r="2843" spans="1:7" ht="14.1" customHeight="1">
      <c r="A2843" s="480">
        <v>15</v>
      </c>
      <c r="B2843" s="17" t="s">
        <v>156</v>
      </c>
      <c r="C2843" s="11" t="s">
        <v>154</v>
      </c>
      <c r="D2843" s="14"/>
      <c r="E2843" s="18">
        <f>'Mano de obra'!$J$22</f>
        <v>64.78</v>
      </c>
      <c r="F2843" s="375">
        <f t="shared" si="142"/>
        <v>0</v>
      </c>
      <c r="G2843" s="1"/>
    </row>
    <row r="2844" spans="1:7" ht="14.1" customHeight="1">
      <c r="A2844" s="480">
        <v>16</v>
      </c>
      <c r="B2844" s="17" t="s">
        <v>157</v>
      </c>
      <c r="C2844" s="11" t="s">
        <v>154</v>
      </c>
      <c r="D2844" s="14">
        <v>0.2</v>
      </c>
      <c r="E2844" s="18">
        <f>'Mano de obra'!$J$23</f>
        <v>59.800000000000004</v>
      </c>
      <c r="F2844" s="375">
        <f t="shared" si="142"/>
        <v>11.96</v>
      </c>
      <c r="G2844" s="1"/>
    </row>
    <row r="2845" spans="1:7" ht="14.1" customHeight="1" thickBot="1">
      <c r="A2845" s="480">
        <v>17</v>
      </c>
      <c r="B2845" s="13"/>
      <c r="C2845" s="11"/>
      <c r="D2845" s="11"/>
      <c r="E2845" s="18"/>
      <c r="F2845" s="375">
        <f t="shared" si="142"/>
        <v>0</v>
      </c>
      <c r="G2845" s="1"/>
    </row>
    <row r="2846" spans="1:7" ht="14.1" customHeight="1" thickBot="1">
      <c r="A2846" s="483"/>
      <c r="B2846" s="405"/>
      <c r="C2846" s="409"/>
      <c r="D2846" s="409"/>
      <c r="E2846" s="367" t="s">
        <v>158</v>
      </c>
      <c r="F2846" s="376">
        <f>SUM(F2841:F2845)</f>
        <v>29.34</v>
      </c>
      <c r="G2846" s="1"/>
    </row>
    <row r="2847" spans="1:7" ht="14.1" customHeight="1" thickBot="1">
      <c r="A2847" s="484"/>
      <c r="B2847" s="405"/>
      <c r="C2847" s="409"/>
      <c r="D2847" s="409"/>
      <c r="E2847" s="409"/>
      <c r="F2847" s="367"/>
      <c r="G2847" s="1"/>
    </row>
    <row r="2848" spans="1:7" ht="14.1" customHeight="1" thickBot="1">
      <c r="A2848" s="480"/>
      <c r="B2848" s="142" t="s">
        <v>273</v>
      </c>
      <c r="C2848" s="369"/>
      <c r="D2848" s="369"/>
      <c r="E2848" s="377" t="s">
        <v>159</v>
      </c>
      <c r="F2848" s="376">
        <f>SUM(F2837+F2846)</f>
        <v>70.900000000000006</v>
      </c>
      <c r="G2848" s="1"/>
    </row>
    <row r="2849" spans="1:7" ht="15" customHeight="1">
      <c r="A2849" s="626"/>
      <c r="B2849" s="627" t="s">
        <v>274</v>
      </c>
      <c r="C2849" s="628"/>
      <c r="D2849" s="628"/>
      <c r="E2849" s="629" t="s">
        <v>275</v>
      </c>
      <c r="F2849" s="631">
        <f>ROUND(F2848*'Coef. resumen'!$F$23, 2)</f>
        <v>105.07</v>
      </c>
    </row>
    <row r="2850" spans="1:7" ht="15" customHeight="1" thickBot="1">
      <c r="A2850" s="626"/>
      <c r="B2850" s="627"/>
      <c r="C2850" s="628"/>
      <c r="D2850" s="628"/>
      <c r="E2850" s="630"/>
      <c r="F2850" s="632"/>
    </row>
    <row r="2851" spans="1:7" ht="15">
      <c r="A2851" s="471"/>
      <c r="B2851" s="2"/>
      <c r="C2851" s="410"/>
      <c r="D2851" s="410"/>
      <c r="E2851" s="410"/>
      <c r="F2851" s="410"/>
    </row>
    <row r="2852" spans="1:7" ht="15">
      <c r="A2852" s="471"/>
      <c r="B2852" s="2"/>
      <c r="C2852" s="410"/>
      <c r="D2852" s="410"/>
      <c r="E2852" s="410"/>
      <c r="F2852" s="410"/>
    </row>
    <row r="2853" spans="1:7" ht="15">
      <c r="A2853" s="471"/>
      <c r="B2853" s="194" t="str">
        <f>'Coef. resumen'!$B$30</f>
        <v>Julián Antonelli</v>
      </c>
      <c r="C2853" s="524"/>
      <c r="D2853" s="524"/>
      <c r="E2853" s="194" t="str">
        <f>'Coef. resumen'!$E$30</f>
        <v>Marcelo A. Pasquini</v>
      </c>
      <c r="F2853" s="410"/>
    </row>
    <row r="2854" spans="1:7" ht="15">
      <c r="A2854" s="471"/>
      <c r="B2854" s="194" t="str">
        <f>'Coef. resumen'!$B$31</f>
        <v>Ing. Civil M.P. 2161</v>
      </c>
      <c r="C2854" s="524"/>
      <c r="D2854" s="524"/>
      <c r="E2854" s="194" t="str">
        <f>'Coef. resumen'!$E$31</f>
        <v>Socio Gerente</v>
      </c>
      <c r="F2854" s="410"/>
    </row>
    <row r="2855" spans="1:7" ht="15">
      <c r="A2855" s="471"/>
      <c r="B2855" s="194" t="str">
        <f>'Coef. resumen'!$B$32</f>
        <v>Representante Técnico</v>
      </c>
      <c r="C2855" s="524"/>
      <c r="D2855" s="19"/>
      <c r="E2855" s="194" t="str">
        <f>'Coef. resumen'!$E$32</f>
        <v>Pasquini Construcciones SRL</v>
      </c>
      <c r="F2855" s="410"/>
    </row>
    <row r="2856" spans="1:7" ht="15">
      <c r="A2856" s="471"/>
      <c r="B2856" s="194"/>
      <c r="C2856" s="410"/>
      <c r="D2856" s="19"/>
      <c r="E2856" s="194"/>
      <c r="F2856" s="410"/>
    </row>
    <row r="2857" spans="1:7" ht="14.1" customHeight="1">
      <c r="A2857" s="477" t="s">
        <v>142</v>
      </c>
      <c r="B2857" s="613" t="str">
        <f>Presupuesto!B117</f>
        <v xml:space="preserve">Provisión, tendido y montaje de conductor de aluminio preensamblado,  3X70+50+25.                    </v>
      </c>
      <c r="C2857" s="614"/>
      <c r="D2857" s="615"/>
      <c r="E2857" s="367" t="s">
        <v>143</v>
      </c>
      <c r="F2857" s="30" t="str">
        <f>Presupuesto!C117</f>
        <v>ml</v>
      </c>
      <c r="G2857" s="1"/>
    </row>
    <row r="2858" spans="1:7" ht="14.1" customHeight="1">
      <c r="A2858" s="622" t="str">
        <f>Presupuesto!A117</f>
        <v>6.2.3</v>
      </c>
      <c r="B2858" s="616"/>
      <c r="C2858" s="617"/>
      <c r="D2858" s="618"/>
      <c r="E2858" s="367"/>
      <c r="F2858" s="367"/>
      <c r="G2858" s="1"/>
    </row>
    <row r="2859" spans="1:7" ht="14.1" customHeight="1">
      <c r="A2859" s="622"/>
      <c r="B2859" s="616"/>
      <c r="C2859" s="617"/>
      <c r="D2859" s="618"/>
      <c r="E2859" s="367"/>
      <c r="F2859" s="367"/>
      <c r="G2859" s="1"/>
    </row>
    <row r="2860" spans="1:7" ht="14.1" customHeight="1">
      <c r="A2860" s="623"/>
      <c r="B2860" s="619"/>
      <c r="C2860" s="620"/>
      <c r="D2860" s="621"/>
      <c r="E2860" s="367"/>
      <c r="F2860" s="367"/>
      <c r="G2860" s="1"/>
    </row>
    <row r="2861" spans="1:7" ht="14.1" customHeight="1">
      <c r="A2861" s="478"/>
      <c r="B2861" s="29"/>
      <c r="C2861" s="368"/>
      <c r="D2861" s="368"/>
      <c r="E2861" s="365"/>
      <c r="F2861" s="365"/>
      <c r="G2861" s="1"/>
    </row>
    <row r="2862" spans="1:7" ht="14.1" customHeight="1">
      <c r="A2862" s="624" t="s">
        <v>144</v>
      </c>
      <c r="B2862" s="624"/>
      <c r="C2862" s="624"/>
      <c r="D2862" s="624"/>
      <c r="E2862" s="624"/>
      <c r="F2862" s="624"/>
      <c r="G2862" s="1"/>
    </row>
    <row r="2863" spans="1:7" ht="14.1" customHeight="1">
      <c r="A2863" s="479"/>
      <c r="B2863" s="10"/>
      <c r="C2863" s="408"/>
      <c r="D2863" s="408"/>
      <c r="E2863" s="408"/>
      <c r="F2863" s="408"/>
      <c r="G2863" s="1"/>
    </row>
    <row r="2864" spans="1:7" ht="15.95" customHeight="1">
      <c r="A2864" s="480" t="s">
        <v>145</v>
      </c>
      <c r="B2864" s="11" t="s">
        <v>146</v>
      </c>
      <c r="C2864" s="11" t="s">
        <v>147</v>
      </c>
      <c r="D2864" s="11" t="s">
        <v>148</v>
      </c>
      <c r="E2864" s="12" t="s">
        <v>149</v>
      </c>
      <c r="F2864" s="11" t="s">
        <v>150</v>
      </c>
      <c r="G2864" s="1"/>
    </row>
    <row r="2865" spans="1:7" ht="14.1" customHeight="1">
      <c r="A2865" s="480">
        <v>1</v>
      </c>
      <c r="B2865" s="418" t="s">
        <v>1241</v>
      </c>
      <c r="C2865" s="221" t="s">
        <v>12</v>
      </c>
      <c r="D2865" s="221">
        <v>1.05</v>
      </c>
      <c r="E2865" s="18">
        <v>31</v>
      </c>
      <c r="F2865" s="375">
        <f>ROUND(D2865*E2865, 2)</f>
        <v>32.549999999999997</v>
      </c>
      <c r="G2865" s="1"/>
    </row>
    <row r="2866" spans="1:7" ht="14.1" customHeight="1">
      <c r="A2866" s="480">
        <v>2</v>
      </c>
      <c r="B2866" s="411" t="s">
        <v>1218</v>
      </c>
      <c r="C2866" s="224" t="s">
        <v>1026</v>
      </c>
      <c r="D2866" s="224">
        <v>1</v>
      </c>
      <c r="E2866" s="18">
        <f>F2865*0.3</f>
        <v>9.7649999999999988</v>
      </c>
      <c r="F2866" s="375">
        <f t="shared" ref="F2866:F2876" si="143">ROUND(D2866*E2866, 2)</f>
        <v>9.77</v>
      </c>
      <c r="G2866" s="1"/>
    </row>
    <row r="2867" spans="1:7" ht="14.1" customHeight="1">
      <c r="A2867" s="480">
        <v>3</v>
      </c>
      <c r="B2867" s="220" t="s">
        <v>1164</v>
      </c>
      <c r="C2867" s="406" t="s">
        <v>325</v>
      </c>
      <c r="D2867" s="224">
        <v>0.04</v>
      </c>
      <c r="E2867" s="18">
        <f>Equipos!S$35</f>
        <v>193.33264462809916</v>
      </c>
      <c r="F2867" s="375">
        <f t="shared" si="143"/>
        <v>7.73</v>
      </c>
      <c r="G2867" s="1"/>
    </row>
    <row r="2868" spans="1:7" ht="14.1" customHeight="1">
      <c r="A2868" s="480">
        <v>4</v>
      </c>
      <c r="B2868" s="220"/>
      <c r="C2868" s="406"/>
      <c r="D2868" s="224"/>
      <c r="E2868" s="18"/>
      <c r="F2868" s="375">
        <f t="shared" si="143"/>
        <v>0</v>
      </c>
      <c r="G2868" s="1"/>
    </row>
    <row r="2869" spans="1:7" ht="14.1" customHeight="1">
      <c r="A2869" s="480">
        <v>5</v>
      </c>
      <c r="B2869" s="220"/>
      <c r="C2869" s="406"/>
      <c r="D2869" s="224"/>
      <c r="E2869" s="18"/>
      <c r="F2869" s="375">
        <f t="shared" si="143"/>
        <v>0</v>
      </c>
      <c r="G2869" s="1"/>
    </row>
    <row r="2870" spans="1:7" ht="14.1" customHeight="1">
      <c r="A2870" s="480">
        <v>6</v>
      </c>
      <c r="B2870" s="220"/>
      <c r="C2870" s="406"/>
      <c r="D2870" s="224"/>
      <c r="E2870" s="18"/>
      <c r="F2870" s="375">
        <f t="shared" si="143"/>
        <v>0</v>
      </c>
      <c r="G2870" s="1"/>
    </row>
    <row r="2871" spans="1:7" ht="14.1" customHeight="1">
      <c r="A2871" s="480">
        <v>7</v>
      </c>
      <c r="B2871" s="220"/>
      <c r="C2871" s="406"/>
      <c r="D2871" s="224"/>
      <c r="E2871" s="18"/>
      <c r="F2871" s="375">
        <f t="shared" si="143"/>
        <v>0</v>
      </c>
      <c r="G2871" s="1"/>
    </row>
    <row r="2872" spans="1:7" ht="14.1" customHeight="1">
      <c r="A2872" s="480">
        <v>8</v>
      </c>
      <c r="B2872" s="220"/>
      <c r="C2872" s="406"/>
      <c r="D2872" s="224"/>
      <c r="E2872" s="18"/>
      <c r="F2872" s="375">
        <f t="shared" si="143"/>
        <v>0</v>
      </c>
      <c r="G2872" s="1"/>
    </row>
    <row r="2873" spans="1:7" ht="14.1" customHeight="1">
      <c r="A2873" s="480">
        <v>9</v>
      </c>
      <c r="B2873" s="220"/>
      <c r="C2873" s="406"/>
      <c r="D2873" s="224"/>
      <c r="E2873" s="18"/>
      <c r="F2873" s="375">
        <f t="shared" si="143"/>
        <v>0</v>
      </c>
      <c r="G2873" s="1"/>
    </row>
    <row r="2874" spans="1:7" ht="14.1" customHeight="1">
      <c r="A2874" s="480">
        <v>10</v>
      </c>
      <c r="B2874" s="13"/>
      <c r="C2874" s="11"/>
      <c r="D2874" s="14"/>
      <c r="E2874" s="18"/>
      <c r="F2874" s="375">
        <f t="shared" si="143"/>
        <v>0</v>
      </c>
      <c r="G2874" s="1"/>
    </row>
    <row r="2875" spans="1:7" ht="14.1" customHeight="1">
      <c r="A2875" s="480">
        <v>11</v>
      </c>
      <c r="B2875" s="13"/>
      <c r="C2875" s="11"/>
      <c r="D2875" s="11"/>
      <c r="E2875" s="18"/>
      <c r="F2875" s="375">
        <f t="shared" si="143"/>
        <v>0</v>
      </c>
      <c r="G2875" s="1"/>
    </row>
    <row r="2876" spans="1:7" ht="14.1" customHeight="1" thickBot="1">
      <c r="A2876" s="480">
        <v>12</v>
      </c>
      <c r="B2876" s="13"/>
      <c r="C2876" s="11"/>
      <c r="D2876" s="11"/>
      <c r="E2876" s="18"/>
      <c r="F2876" s="375">
        <f t="shared" si="143"/>
        <v>0</v>
      </c>
      <c r="G2876" s="1"/>
    </row>
    <row r="2877" spans="1:7" ht="14.1" customHeight="1" thickBot="1">
      <c r="A2877" s="481"/>
      <c r="B2877" s="5"/>
      <c r="C2877" s="367"/>
      <c r="D2877" s="367"/>
      <c r="E2877" s="367" t="s">
        <v>151</v>
      </c>
      <c r="F2877" s="376">
        <f>SUM(F2865:F2876)</f>
        <v>50.05</v>
      </c>
      <c r="G2877" s="1"/>
    </row>
    <row r="2878" spans="1:7" ht="14.1" customHeight="1">
      <c r="A2878" s="482"/>
      <c r="B2878" s="405"/>
      <c r="C2878" s="409"/>
      <c r="D2878" s="409"/>
      <c r="E2878" s="409"/>
      <c r="F2878" s="409"/>
      <c r="G2878" s="1"/>
    </row>
    <row r="2879" spans="1:7" ht="14.1" customHeight="1">
      <c r="A2879" s="625" t="s">
        <v>152</v>
      </c>
      <c r="B2879" s="625"/>
      <c r="C2879" s="625"/>
      <c r="D2879" s="625"/>
      <c r="E2879" s="625"/>
      <c r="F2879" s="625"/>
      <c r="G2879" s="1"/>
    </row>
    <row r="2880" spans="1:7" ht="14.1" customHeight="1">
      <c r="A2880" s="482"/>
      <c r="B2880" s="405"/>
      <c r="C2880" s="409"/>
      <c r="D2880" s="409"/>
      <c r="E2880" s="409"/>
      <c r="F2880" s="367"/>
      <c r="G2880" s="1"/>
    </row>
    <row r="2881" spans="1:7" ht="14.1" customHeight="1">
      <c r="A2881" s="480">
        <v>13</v>
      </c>
      <c r="B2881" s="17" t="s">
        <v>153</v>
      </c>
      <c r="C2881" s="11" t="s">
        <v>154</v>
      </c>
      <c r="D2881" s="14">
        <f>D2867</f>
        <v>0.04</v>
      </c>
      <c r="E2881" s="18">
        <f>'Mano de obra'!$J$20</f>
        <v>82.610000000000014</v>
      </c>
      <c r="F2881" s="375">
        <f>ROUND(D2881*E2881, 2)</f>
        <v>3.3</v>
      </c>
      <c r="G2881" s="1"/>
    </row>
    <row r="2882" spans="1:7" ht="14.1" customHeight="1">
      <c r="A2882" s="480">
        <v>14</v>
      </c>
      <c r="B2882" s="17" t="s">
        <v>155</v>
      </c>
      <c r="C2882" s="11" t="s">
        <v>154</v>
      </c>
      <c r="D2882" s="14">
        <v>0.2</v>
      </c>
      <c r="E2882" s="18">
        <f>'Mano de obra'!$J$21</f>
        <v>70.38</v>
      </c>
      <c r="F2882" s="375">
        <f t="shared" ref="F2882:F2885" si="144">ROUND(D2882*E2882, 2)</f>
        <v>14.08</v>
      </c>
      <c r="G2882" s="1"/>
    </row>
    <row r="2883" spans="1:7" ht="14.1" customHeight="1">
      <c r="A2883" s="480">
        <v>15</v>
      </c>
      <c r="B2883" s="17" t="s">
        <v>156</v>
      </c>
      <c r="C2883" s="11" t="s">
        <v>154</v>
      </c>
      <c r="D2883" s="14"/>
      <c r="E2883" s="18">
        <f>'Mano de obra'!$J$22</f>
        <v>64.78</v>
      </c>
      <c r="F2883" s="375">
        <f t="shared" si="144"/>
        <v>0</v>
      </c>
      <c r="G2883" s="1"/>
    </row>
    <row r="2884" spans="1:7" ht="14.1" customHeight="1">
      <c r="A2884" s="480">
        <v>16</v>
      </c>
      <c r="B2884" s="17" t="s">
        <v>157</v>
      </c>
      <c r="C2884" s="11" t="s">
        <v>154</v>
      </c>
      <c r="D2884" s="14">
        <v>0.2</v>
      </c>
      <c r="E2884" s="18">
        <f>'Mano de obra'!$J$23</f>
        <v>59.800000000000004</v>
      </c>
      <c r="F2884" s="375">
        <f t="shared" si="144"/>
        <v>11.96</v>
      </c>
      <c r="G2884" s="1"/>
    </row>
    <row r="2885" spans="1:7" ht="14.1" customHeight="1" thickBot="1">
      <c r="A2885" s="480">
        <v>17</v>
      </c>
      <c r="B2885" s="13"/>
      <c r="C2885" s="11"/>
      <c r="D2885" s="11"/>
      <c r="E2885" s="18"/>
      <c r="F2885" s="375">
        <f t="shared" si="144"/>
        <v>0</v>
      </c>
      <c r="G2885" s="1"/>
    </row>
    <row r="2886" spans="1:7" ht="14.1" customHeight="1" thickBot="1">
      <c r="A2886" s="483"/>
      <c r="B2886" s="405"/>
      <c r="C2886" s="409"/>
      <c r="D2886" s="409"/>
      <c r="E2886" s="367" t="s">
        <v>158</v>
      </c>
      <c r="F2886" s="376">
        <f>SUM(F2881:F2885)</f>
        <v>29.34</v>
      </c>
      <c r="G2886" s="1"/>
    </row>
    <row r="2887" spans="1:7" ht="14.1" customHeight="1" thickBot="1">
      <c r="A2887" s="484"/>
      <c r="B2887" s="405"/>
      <c r="C2887" s="409"/>
      <c r="D2887" s="409"/>
      <c r="E2887" s="409"/>
      <c r="F2887" s="367"/>
      <c r="G2887" s="1"/>
    </row>
    <row r="2888" spans="1:7" ht="14.1" customHeight="1" thickBot="1">
      <c r="A2888" s="480"/>
      <c r="B2888" s="142" t="s">
        <v>273</v>
      </c>
      <c r="C2888" s="369"/>
      <c r="D2888" s="369"/>
      <c r="E2888" s="377" t="s">
        <v>159</v>
      </c>
      <c r="F2888" s="376">
        <f>SUM(F2877+F2886)</f>
        <v>79.39</v>
      </c>
      <c r="G2888" s="1"/>
    </row>
    <row r="2889" spans="1:7" ht="15" customHeight="1">
      <c r="A2889" s="626"/>
      <c r="B2889" s="627" t="s">
        <v>274</v>
      </c>
      <c r="C2889" s="628"/>
      <c r="D2889" s="628"/>
      <c r="E2889" s="629" t="s">
        <v>275</v>
      </c>
      <c r="F2889" s="631">
        <f>ROUND(F2888*'Coef. resumen'!$F$23, 2)</f>
        <v>117.66</v>
      </c>
    </row>
    <row r="2890" spans="1:7" ht="15" customHeight="1" thickBot="1">
      <c r="A2890" s="626"/>
      <c r="B2890" s="627"/>
      <c r="C2890" s="628"/>
      <c r="D2890" s="628"/>
      <c r="E2890" s="630"/>
      <c r="F2890" s="632"/>
    </row>
    <row r="2891" spans="1:7" ht="15">
      <c r="A2891" s="471"/>
      <c r="B2891" s="2"/>
      <c r="C2891" s="410"/>
      <c r="D2891" s="410"/>
      <c r="E2891" s="410"/>
      <c r="F2891" s="410"/>
    </row>
    <row r="2892" spans="1:7" ht="15">
      <c r="A2892" s="471"/>
      <c r="B2892" s="2"/>
      <c r="C2892" s="410"/>
      <c r="D2892" s="410"/>
      <c r="E2892" s="410"/>
      <c r="F2892" s="410"/>
    </row>
    <row r="2893" spans="1:7" ht="15">
      <c r="A2893" s="471"/>
      <c r="B2893" s="194" t="str">
        <f>'Coef. resumen'!$B$30</f>
        <v>Julián Antonelli</v>
      </c>
      <c r="C2893" s="524"/>
      <c r="D2893" s="524"/>
      <c r="E2893" s="194" t="str">
        <f>'Coef. resumen'!$E$30</f>
        <v>Marcelo A. Pasquini</v>
      </c>
      <c r="F2893" s="410"/>
    </row>
    <row r="2894" spans="1:7" ht="15">
      <c r="A2894" s="471"/>
      <c r="B2894" s="194" t="str">
        <f>'Coef. resumen'!$B$31</f>
        <v>Ing. Civil M.P. 2161</v>
      </c>
      <c r="C2894" s="524"/>
      <c r="D2894" s="524"/>
      <c r="E2894" s="194" t="str">
        <f>'Coef. resumen'!$E$31</f>
        <v>Socio Gerente</v>
      </c>
      <c r="F2894" s="410"/>
    </row>
    <row r="2895" spans="1:7" ht="15">
      <c r="A2895" s="471"/>
      <c r="B2895" s="194" t="str">
        <f>'Coef. resumen'!$B$32</f>
        <v>Representante Técnico</v>
      </c>
      <c r="C2895" s="524"/>
      <c r="D2895" s="19"/>
      <c r="E2895" s="194" t="str">
        <f>'Coef. resumen'!$E$32</f>
        <v>Pasquini Construcciones SRL</v>
      </c>
      <c r="F2895" s="410"/>
    </row>
    <row r="2896" spans="1:7" ht="15">
      <c r="A2896" s="471"/>
      <c r="B2896" s="194"/>
      <c r="C2896" s="410"/>
      <c r="D2896" s="19"/>
      <c r="E2896" s="194"/>
      <c r="F2896" s="410"/>
    </row>
    <row r="2897" spans="1:7" ht="14.1" customHeight="1">
      <c r="A2897" s="477" t="s">
        <v>142</v>
      </c>
      <c r="B2897" s="613" t="str">
        <f>Presupuesto!B118</f>
        <v xml:space="preserve">Provisión, tendido y montaje de conductor de cobre preensamblado, 2X4.                        </v>
      </c>
      <c r="C2897" s="614"/>
      <c r="D2897" s="615"/>
      <c r="E2897" s="367" t="s">
        <v>143</v>
      </c>
      <c r="F2897" s="30" t="str">
        <f>Presupuesto!C118</f>
        <v>ml</v>
      </c>
      <c r="G2897" s="1"/>
    </row>
    <row r="2898" spans="1:7" ht="14.1" customHeight="1">
      <c r="A2898" s="622" t="str">
        <f>Presupuesto!A118</f>
        <v>6.2.4</v>
      </c>
      <c r="B2898" s="616"/>
      <c r="C2898" s="617"/>
      <c r="D2898" s="618"/>
      <c r="E2898" s="367"/>
      <c r="F2898" s="367"/>
      <c r="G2898" s="1"/>
    </row>
    <row r="2899" spans="1:7" ht="14.1" customHeight="1">
      <c r="A2899" s="622"/>
      <c r="B2899" s="616"/>
      <c r="C2899" s="617"/>
      <c r="D2899" s="618"/>
      <c r="E2899" s="367"/>
      <c r="F2899" s="367"/>
      <c r="G2899" s="1"/>
    </row>
    <row r="2900" spans="1:7" ht="14.1" customHeight="1">
      <c r="A2900" s="623"/>
      <c r="B2900" s="619"/>
      <c r="C2900" s="620"/>
      <c r="D2900" s="621"/>
      <c r="E2900" s="367"/>
      <c r="F2900" s="367"/>
      <c r="G2900" s="1"/>
    </row>
    <row r="2901" spans="1:7" ht="14.1" customHeight="1">
      <c r="A2901" s="478"/>
      <c r="B2901" s="29"/>
      <c r="C2901" s="368"/>
      <c r="D2901" s="368"/>
      <c r="E2901" s="365"/>
      <c r="F2901" s="365"/>
      <c r="G2901" s="1"/>
    </row>
    <row r="2902" spans="1:7" ht="14.1" customHeight="1">
      <c r="A2902" s="624" t="s">
        <v>144</v>
      </c>
      <c r="B2902" s="624"/>
      <c r="C2902" s="624"/>
      <c r="D2902" s="624"/>
      <c r="E2902" s="624"/>
      <c r="F2902" s="624"/>
      <c r="G2902" s="1"/>
    </row>
    <row r="2903" spans="1:7" ht="14.1" customHeight="1">
      <c r="A2903" s="479"/>
      <c r="B2903" s="10"/>
      <c r="C2903" s="408"/>
      <c r="D2903" s="408"/>
      <c r="E2903" s="408"/>
      <c r="F2903" s="408"/>
      <c r="G2903" s="1"/>
    </row>
    <row r="2904" spans="1:7" ht="15.95" customHeight="1">
      <c r="A2904" s="480" t="s">
        <v>145</v>
      </c>
      <c r="B2904" s="11" t="s">
        <v>146</v>
      </c>
      <c r="C2904" s="11" t="s">
        <v>147</v>
      </c>
      <c r="D2904" s="11" t="s">
        <v>148</v>
      </c>
      <c r="E2904" s="12" t="s">
        <v>149</v>
      </c>
      <c r="F2904" s="11" t="s">
        <v>150</v>
      </c>
      <c r="G2904" s="1"/>
    </row>
    <row r="2905" spans="1:7" ht="14.1" customHeight="1">
      <c r="A2905" s="480">
        <v>1</v>
      </c>
      <c r="B2905" s="418" t="s">
        <v>1239</v>
      </c>
      <c r="C2905" s="221" t="s">
        <v>12</v>
      </c>
      <c r="D2905" s="221">
        <v>1.05</v>
      </c>
      <c r="E2905" s="18">
        <v>7</v>
      </c>
      <c r="F2905" s="375">
        <f>ROUND(D2905*E2905, 2)</f>
        <v>7.35</v>
      </c>
      <c r="G2905" s="1"/>
    </row>
    <row r="2906" spans="1:7" ht="14.1" customHeight="1">
      <c r="A2906" s="480">
        <v>2</v>
      </c>
      <c r="B2906" s="411" t="s">
        <v>1218</v>
      </c>
      <c r="C2906" s="224" t="s">
        <v>1026</v>
      </c>
      <c r="D2906" s="224">
        <v>1</v>
      </c>
      <c r="E2906" s="18">
        <f>F2905*0.3</f>
        <v>2.2049999999999996</v>
      </c>
      <c r="F2906" s="375">
        <f t="shared" ref="F2906:F2916" si="145">ROUND(D2906*E2906, 2)</f>
        <v>2.21</v>
      </c>
      <c r="G2906" s="1"/>
    </row>
    <row r="2907" spans="1:7" ht="14.1" customHeight="1">
      <c r="A2907" s="480">
        <v>3</v>
      </c>
      <c r="B2907" s="220" t="s">
        <v>1164</v>
      </c>
      <c r="C2907" s="406" t="s">
        <v>325</v>
      </c>
      <c r="D2907" s="224">
        <v>0.04</v>
      </c>
      <c r="E2907" s="18">
        <f>Equipos!S$35</f>
        <v>193.33264462809916</v>
      </c>
      <c r="F2907" s="375">
        <f t="shared" si="145"/>
        <v>7.73</v>
      </c>
      <c r="G2907" s="1"/>
    </row>
    <row r="2908" spans="1:7" ht="14.1" customHeight="1">
      <c r="A2908" s="480">
        <v>4</v>
      </c>
      <c r="B2908" s="220"/>
      <c r="C2908" s="406"/>
      <c r="D2908" s="224"/>
      <c r="E2908" s="18"/>
      <c r="F2908" s="375">
        <f t="shared" si="145"/>
        <v>0</v>
      </c>
      <c r="G2908" s="1"/>
    </row>
    <row r="2909" spans="1:7" ht="14.1" customHeight="1">
      <c r="A2909" s="480">
        <v>5</v>
      </c>
      <c r="B2909" s="220"/>
      <c r="C2909" s="406"/>
      <c r="D2909" s="224"/>
      <c r="E2909" s="18"/>
      <c r="F2909" s="375">
        <f t="shared" si="145"/>
        <v>0</v>
      </c>
      <c r="G2909" s="1"/>
    </row>
    <row r="2910" spans="1:7" ht="14.1" customHeight="1">
      <c r="A2910" s="480">
        <v>6</v>
      </c>
      <c r="B2910" s="220"/>
      <c r="C2910" s="406"/>
      <c r="D2910" s="224"/>
      <c r="E2910" s="18"/>
      <c r="F2910" s="375">
        <f t="shared" si="145"/>
        <v>0</v>
      </c>
      <c r="G2910" s="1"/>
    </row>
    <row r="2911" spans="1:7" ht="14.1" customHeight="1">
      <c r="A2911" s="480">
        <v>7</v>
      </c>
      <c r="B2911" s="220"/>
      <c r="C2911" s="406"/>
      <c r="D2911" s="224"/>
      <c r="E2911" s="18"/>
      <c r="F2911" s="375">
        <f t="shared" si="145"/>
        <v>0</v>
      </c>
      <c r="G2911" s="1"/>
    </row>
    <row r="2912" spans="1:7" ht="14.1" customHeight="1">
      <c r="A2912" s="480">
        <v>8</v>
      </c>
      <c r="B2912" s="220"/>
      <c r="C2912" s="406"/>
      <c r="D2912" s="224"/>
      <c r="E2912" s="18"/>
      <c r="F2912" s="375">
        <f t="shared" si="145"/>
        <v>0</v>
      </c>
      <c r="G2912" s="1"/>
    </row>
    <row r="2913" spans="1:7" ht="14.1" customHeight="1">
      <c r="A2913" s="480">
        <v>9</v>
      </c>
      <c r="B2913" s="220"/>
      <c r="C2913" s="406"/>
      <c r="D2913" s="224"/>
      <c r="E2913" s="18"/>
      <c r="F2913" s="375">
        <f t="shared" si="145"/>
        <v>0</v>
      </c>
      <c r="G2913" s="1"/>
    </row>
    <row r="2914" spans="1:7" ht="14.1" customHeight="1">
      <c r="A2914" s="480">
        <v>10</v>
      </c>
      <c r="B2914" s="13"/>
      <c r="C2914" s="11"/>
      <c r="D2914" s="14"/>
      <c r="E2914" s="18"/>
      <c r="F2914" s="375">
        <f t="shared" si="145"/>
        <v>0</v>
      </c>
      <c r="G2914" s="1"/>
    </row>
    <row r="2915" spans="1:7" ht="14.1" customHeight="1">
      <c r="A2915" s="480">
        <v>11</v>
      </c>
      <c r="B2915" s="13"/>
      <c r="C2915" s="11"/>
      <c r="D2915" s="11"/>
      <c r="E2915" s="18"/>
      <c r="F2915" s="375">
        <f t="shared" si="145"/>
        <v>0</v>
      </c>
      <c r="G2915" s="1"/>
    </row>
    <row r="2916" spans="1:7" ht="14.1" customHeight="1" thickBot="1">
      <c r="A2916" s="480">
        <v>12</v>
      </c>
      <c r="B2916" s="13"/>
      <c r="C2916" s="11"/>
      <c r="D2916" s="11"/>
      <c r="E2916" s="18"/>
      <c r="F2916" s="375">
        <f t="shared" si="145"/>
        <v>0</v>
      </c>
      <c r="G2916" s="1"/>
    </row>
    <row r="2917" spans="1:7" ht="14.1" customHeight="1" thickBot="1">
      <c r="A2917" s="481"/>
      <c r="B2917" s="5"/>
      <c r="C2917" s="367"/>
      <c r="D2917" s="367"/>
      <c r="E2917" s="367" t="s">
        <v>151</v>
      </c>
      <c r="F2917" s="376">
        <f>SUM(F2905:F2916)</f>
        <v>17.29</v>
      </c>
      <c r="G2917" s="1"/>
    </row>
    <row r="2918" spans="1:7" ht="14.1" customHeight="1">
      <c r="A2918" s="482"/>
      <c r="B2918" s="405"/>
      <c r="C2918" s="409"/>
      <c r="D2918" s="409"/>
      <c r="E2918" s="409"/>
      <c r="F2918" s="409"/>
      <c r="G2918" s="1"/>
    </row>
    <row r="2919" spans="1:7" ht="14.1" customHeight="1">
      <c r="A2919" s="625" t="s">
        <v>152</v>
      </c>
      <c r="B2919" s="625"/>
      <c r="C2919" s="625"/>
      <c r="D2919" s="625"/>
      <c r="E2919" s="625"/>
      <c r="F2919" s="625"/>
      <c r="G2919" s="1"/>
    </row>
    <row r="2920" spans="1:7" ht="14.1" customHeight="1">
      <c r="A2920" s="482"/>
      <c r="B2920" s="405"/>
      <c r="C2920" s="409"/>
      <c r="D2920" s="409"/>
      <c r="E2920" s="409"/>
      <c r="F2920" s="367"/>
      <c r="G2920" s="1"/>
    </row>
    <row r="2921" spans="1:7" ht="14.1" customHeight="1">
      <c r="A2921" s="480">
        <v>13</v>
      </c>
      <c r="B2921" s="17" t="s">
        <v>153</v>
      </c>
      <c r="C2921" s="11" t="s">
        <v>154</v>
      </c>
      <c r="D2921" s="14">
        <f>D2907</f>
        <v>0.04</v>
      </c>
      <c r="E2921" s="18">
        <f>'Mano de obra'!$J$20</f>
        <v>82.610000000000014</v>
      </c>
      <c r="F2921" s="375">
        <f>ROUND(D2921*E2921, 2)</f>
        <v>3.3</v>
      </c>
      <c r="G2921" s="1"/>
    </row>
    <row r="2922" spans="1:7" ht="14.1" customHeight="1">
      <c r="A2922" s="480">
        <v>14</v>
      </c>
      <c r="B2922" s="17" t="s">
        <v>155</v>
      </c>
      <c r="C2922" s="11" t="s">
        <v>154</v>
      </c>
      <c r="D2922" s="14">
        <v>0.2</v>
      </c>
      <c r="E2922" s="18">
        <f>'Mano de obra'!$J$21</f>
        <v>70.38</v>
      </c>
      <c r="F2922" s="375">
        <f t="shared" ref="F2922:F2925" si="146">ROUND(D2922*E2922, 2)</f>
        <v>14.08</v>
      </c>
      <c r="G2922" s="1"/>
    </row>
    <row r="2923" spans="1:7" ht="14.1" customHeight="1">
      <c r="A2923" s="480">
        <v>15</v>
      </c>
      <c r="B2923" s="17" t="s">
        <v>156</v>
      </c>
      <c r="C2923" s="11" t="s">
        <v>154</v>
      </c>
      <c r="D2923" s="14"/>
      <c r="E2923" s="18">
        <f>'Mano de obra'!$J$22</f>
        <v>64.78</v>
      </c>
      <c r="F2923" s="375">
        <f t="shared" si="146"/>
        <v>0</v>
      </c>
      <c r="G2923" s="1"/>
    </row>
    <row r="2924" spans="1:7" ht="14.1" customHeight="1">
      <c r="A2924" s="480">
        <v>16</v>
      </c>
      <c r="B2924" s="17" t="s">
        <v>157</v>
      </c>
      <c r="C2924" s="11" t="s">
        <v>154</v>
      </c>
      <c r="D2924" s="14">
        <v>0.2</v>
      </c>
      <c r="E2924" s="18">
        <f>'Mano de obra'!$J$23</f>
        <v>59.800000000000004</v>
      </c>
      <c r="F2924" s="375">
        <f t="shared" si="146"/>
        <v>11.96</v>
      </c>
      <c r="G2924" s="1"/>
    </row>
    <row r="2925" spans="1:7" ht="14.1" customHeight="1" thickBot="1">
      <c r="A2925" s="480">
        <v>17</v>
      </c>
      <c r="B2925" s="13"/>
      <c r="C2925" s="11"/>
      <c r="D2925" s="11"/>
      <c r="E2925" s="18"/>
      <c r="F2925" s="375">
        <f t="shared" si="146"/>
        <v>0</v>
      </c>
      <c r="G2925" s="1"/>
    </row>
    <row r="2926" spans="1:7" ht="14.1" customHeight="1" thickBot="1">
      <c r="A2926" s="483"/>
      <c r="B2926" s="405"/>
      <c r="C2926" s="409"/>
      <c r="D2926" s="409"/>
      <c r="E2926" s="367" t="s">
        <v>158</v>
      </c>
      <c r="F2926" s="376">
        <f>SUM(F2921:F2925)</f>
        <v>29.34</v>
      </c>
      <c r="G2926" s="1"/>
    </row>
    <row r="2927" spans="1:7" ht="14.1" customHeight="1" thickBot="1">
      <c r="A2927" s="484"/>
      <c r="B2927" s="405"/>
      <c r="C2927" s="409"/>
      <c r="D2927" s="409"/>
      <c r="E2927" s="409"/>
      <c r="F2927" s="367"/>
      <c r="G2927" s="1"/>
    </row>
    <row r="2928" spans="1:7" ht="14.1" customHeight="1" thickBot="1">
      <c r="A2928" s="480"/>
      <c r="B2928" s="142" t="s">
        <v>273</v>
      </c>
      <c r="C2928" s="369"/>
      <c r="D2928" s="369"/>
      <c r="E2928" s="377" t="s">
        <v>159</v>
      </c>
      <c r="F2928" s="376">
        <f>SUM(F2917+F2926)</f>
        <v>46.629999999999995</v>
      </c>
      <c r="G2928" s="1"/>
    </row>
    <row r="2929" spans="1:7" ht="15" customHeight="1">
      <c r="A2929" s="626"/>
      <c r="B2929" s="627" t="s">
        <v>274</v>
      </c>
      <c r="C2929" s="628"/>
      <c r="D2929" s="628"/>
      <c r="E2929" s="629" t="s">
        <v>275</v>
      </c>
      <c r="F2929" s="631">
        <f>ROUND(F2928*'Coef. resumen'!$F$23, 2)</f>
        <v>69.11</v>
      </c>
    </row>
    <row r="2930" spans="1:7" ht="15" customHeight="1" thickBot="1">
      <c r="A2930" s="626"/>
      <c r="B2930" s="627"/>
      <c r="C2930" s="628"/>
      <c r="D2930" s="628"/>
      <c r="E2930" s="630"/>
      <c r="F2930" s="632"/>
    </row>
    <row r="2931" spans="1:7" ht="15">
      <c r="A2931" s="471"/>
      <c r="B2931" s="2"/>
      <c r="C2931" s="410"/>
      <c r="D2931" s="410"/>
      <c r="E2931" s="410"/>
      <c r="F2931" s="410"/>
    </row>
    <row r="2932" spans="1:7" ht="15">
      <c r="A2932" s="471"/>
      <c r="B2932" s="2"/>
      <c r="C2932" s="410"/>
      <c r="D2932" s="410"/>
      <c r="E2932" s="410"/>
      <c r="F2932" s="410"/>
    </row>
    <row r="2933" spans="1:7" ht="15">
      <c r="A2933" s="471"/>
      <c r="B2933" s="194" t="str">
        <f>'Coef. resumen'!$B$30</f>
        <v>Julián Antonelli</v>
      </c>
      <c r="C2933" s="524"/>
      <c r="D2933" s="524"/>
      <c r="E2933" s="194" t="str">
        <f>'Coef. resumen'!$E$30</f>
        <v>Marcelo A. Pasquini</v>
      </c>
      <c r="F2933" s="410"/>
    </row>
    <row r="2934" spans="1:7" ht="15">
      <c r="A2934" s="471"/>
      <c r="B2934" s="194" t="str">
        <f>'Coef. resumen'!$B$31</f>
        <v>Ing. Civil M.P. 2161</v>
      </c>
      <c r="C2934" s="524"/>
      <c r="D2934" s="524"/>
      <c r="E2934" s="194" t="str">
        <f>'Coef. resumen'!$E$31</f>
        <v>Socio Gerente</v>
      </c>
      <c r="F2934" s="410"/>
    </row>
    <row r="2935" spans="1:7" ht="15">
      <c r="A2935" s="471"/>
      <c r="B2935" s="194" t="str">
        <f>'Coef. resumen'!$B$32</f>
        <v>Representante Técnico</v>
      </c>
      <c r="C2935" s="524"/>
      <c r="D2935" s="19"/>
      <c r="E2935" s="194" t="str">
        <f>'Coef. resumen'!$E$32</f>
        <v>Pasquini Construcciones SRL</v>
      </c>
      <c r="F2935" s="410"/>
    </row>
    <row r="2936" spans="1:7" ht="15">
      <c r="A2936" s="471"/>
      <c r="B2936" s="194"/>
      <c r="C2936" s="410"/>
      <c r="D2936" s="19"/>
      <c r="E2936" s="194"/>
      <c r="F2936" s="410"/>
    </row>
    <row r="2937" spans="1:7" ht="14.1" customHeight="1">
      <c r="A2937" s="477" t="s">
        <v>142</v>
      </c>
      <c r="B2937" s="613" t="str">
        <f>Presupuesto!B120</f>
        <v>Prov.y colocación de Artefactos Strand JC 250-AR 100</v>
      </c>
      <c r="C2937" s="614"/>
      <c r="D2937" s="615"/>
      <c r="E2937" s="367" t="s">
        <v>143</v>
      </c>
      <c r="F2937" s="30" t="str">
        <f>Presupuesto!C120</f>
        <v>Un</v>
      </c>
      <c r="G2937" s="1"/>
    </row>
    <row r="2938" spans="1:7" ht="14.1" customHeight="1">
      <c r="A2938" s="622" t="str">
        <f>Presupuesto!A120</f>
        <v>6.3.1</v>
      </c>
      <c r="B2938" s="616"/>
      <c r="C2938" s="617"/>
      <c r="D2938" s="618"/>
      <c r="E2938" s="367"/>
      <c r="F2938" s="367"/>
      <c r="G2938" s="1"/>
    </row>
    <row r="2939" spans="1:7" ht="14.1" customHeight="1">
      <c r="A2939" s="622"/>
      <c r="B2939" s="616"/>
      <c r="C2939" s="617"/>
      <c r="D2939" s="618"/>
      <c r="E2939" s="367"/>
      <c r="F2939" s="367"/>
      <c r="G2939" s="1"/>
    </row>
    <row r="2940" spans="1:7" ht="14.1" customHeight="1">
      <c r="A2940" s="623"/>
      <c r="B2940" s="619"/>
      <c r="C2940" s="620"/>
      <c r="D2940" s="621"/>
      <c r="E2940" s="367"/>
      <c r="F2940" s="367"/>
      <c r="G2940" s="1"/>
    </row>
    <row r="2941" spans="1:7" ht="14.1" customHeight="1">
      <c r="A2941" s="478"/>
      <c r="B2941" s="29"/>
      <c r="C2941" s="368"/>
      <c r="D2941" s="368"/>
      <c r="E2941" s="365"/>
      <c r="F2941" s="365"/>
      <c r="G2941" s="1"/>
    </row>
    <row r="2942" spans="1:7" ht="14.1" customHeight="1">
      <c r="A2942" s="624" t="s">
        <v>144</v>
      </c>
      <c r="B2942" s="624"/>
      <c r="C2942" s="624"/>
      <c r="D2942" s="624"/>
      <c r="E2942" s="624"/>
      <c r="F2942" s="624"/>
      <c r="G2942" s="1"/>
    </row>
    <row r="2943" spans="1:7" ht="14.1" customHeight="1">
      <c r="A2943" s="479"/>
      <c r="B2943" s="10"/>
      <c r="C2943" s="408"/>
      <c r="D2943" s="408"/>
      <c r="E2943" s="408"/>
      <c r="F2943" s="408"/>
      <c r="G2943" s="1"/>
    </row>
    <row r="2944" spans="1:7" ht="15.95" customHeight="1">
      <c r="A2944" s="480" t="s">
        <v>145</v>
      </c>
      <c r="B2944" s="11" t="s">
        <v>146</v>
      </c>
      <c r="C2944" s="11" t="s">
        <v>147</v>
      </c>
      <c r="D2944" s="11" t="s">
        <v>148</v>
      </c>
      <c r="E2944" s="12" t="s">
        <v>149</v>
      </c>
      <c r="F2944" s="11" t="s">
        <v>150</v>
      </c>
      <c r="G2944" s="1"/>
    </row>
    <row r="2945" spans="1:7" ht="14.1" customHeight="1">
      <c r="A2945" s="480">
        <v>1</v>
      </c>
      <c r="B2945" s="301" t="s">
        <v>1221</v>
      </c>
      <c r="C2945" s="221" t="s">
        <v>3</v>
      </c>
      <c r="D2945" s="221">
        <v>1</v>
      </c>
      <c r="E2945" s="18">
        <f>1295*1.05</f>
        <v>1359.75</v>
      </c>
      <c r="F2945" s="375">
        <f>ROUND(D2945*E2945, 2)</f>
        <v>1359.75</v>
      </c>
      <c r="G2945" s="1"/>
    </row>
    <row r="2946" spans="1:7" ht="14.1" customHeight="1">
      <c r="A2946" s="480">
        <v>2</v>
      </c>
      <c r="B2946" s="301" t="s">
        <v>1222</v>
      </c>
      <c r="C2946" s="224" t="s">
        <v>3</v>
      </c>
      <c r="D2946" s="224">
        <v>1</v>
      </c>
      <c r="E2946" s="18">
        <v>58</v>
      </c>
      <c r="F2946" s="375">
        <f t="shared" ref="F2946:F2956" si="147">ROUND(D2946*E2946, 2)</f>
        <v>58</v>
      </c>
      <c r="G2946" s="1"/>
    </row>
    <row r="2947" spans="1:7" ht="14.1" customHeight="1">
      <c r="A2947" s="480">
        <v>3</v>
      </c>
      <c r="B2947" s="220" t="s">
        <v>1192</v>
      </c>
      <c r="C2947" s="406" t="s">
        <v>1026</v>
      </c>
      <c r="D2947" s="224">
        <v>1</v>
      </c>
      <c r="E2947" s="18">
        <f>0.1*SUM(F2945:F2946)</f>
        <v>141.77500000000001</v>
      </c>
      <c r="F2947" s="375">
        <f t="shared" si="147"/>
        <v>141.78</v>
      </c>
      <c r="G2947" s="1"/>
    </row>
    <row r="2948" spans="1:7" ht="14.1" customHeight="1">
      <c r="A2948" s="480">
        <v>4</v>
      </c>
      <c r="B2948" s="220" t="s">
        <v>1164</v>
      </c>
      <c r="C2948" s="406" t="s">
        <v>325</v>
      </c>
      <c r="D2948" s="224">
        <v>0.8</v>
      </c>
      <c r="E2948" s="18">
        <f>Equipos!S35</f>
        <v>193.33264462809916</v>
      </c>
      <c r="F2948" s="375">
        <f t="shared" si="147"/>
        <v>154.66999999999999</v>
      </c>
      <c r="G2948" s="1"/>
    </row>
    <row r="2949" spans="1:7" ht="14.1" customHeight="1">
      <c r="A2949" s="480">
        <v>5</v>
      </c>
      <c r="B2949" s="220"/>
      <c r="C2949" s="406"/>
      <c r="D2949" s="224"/>
      <c r="E2949" s="18"/>
      <c r="F2949" s="375">
        <f t="shared" si="147"/>
        <v>0</v>
      </c>
      <c r="G2949" s="1"/>
    </row>
    <row r="2950" spans="1:7" ht="14.1" customHeight="1">
      <c r="A2950" s="480">
        <v>6</v>
      </c>
      <c r="B2950" s="220"/>
      <c r="C2950" s="406"/>
      <c r="D2950" s="224"/>
      <c r="E2950" s="18"/>
      <c r="F2950" s="375">
        <f t="shared" si="147"/>
        <v>0</v>
      </c>
      <c r="G2950" s="1"/>
    </row>
    <row r="2951" spans="1:7" ht="14.1" customHeight="1">
      <c r="A2951" s="480">
        <v>7</v>
      </c>
      <c r="B2951" s="220"/>
      <c r="C2951" s="406"/>
      <c r="D2951" s="224"/>
      <c r="E2951" s="18"/>
      <c r="F2951" s="375">
        <f t="shared" si="147"/>
        <v>0</v>
      </c>
      <c r="G2951" s="1"/>
    </row>
    <row r="2952" spans="1:7" ht="14.1" customHeight="1">
      <c r="A2952" s="480">
        <v>8</v>
      </c>
      <c r="B2952" s="220"/>
      <c r="C2952" s="406"/>
      <c r="D2952" s="224"/>
      <c r="E2952" s="18"/>
      <c r="F2952" s="375">
        <f t="shared" si="147"/>
        <v>0</v>
      </c>
      <c r="G2952" s="1"/>
    </row>
    <row r="2953" spans="1:7" ht="14.1" customHeight="1">
      <c r="A2953" s="480">
        <v>9</v>
      </c>
      <c r="B2953" s="220"/>
      <c r="C2953" s="406"/>
      <c r="D2953" s="224"/>
      <c r="E2953" s="18"/>
      <c r="F2953" s="375">
        <f t="shared" si="147"/>
        <v>0</v>
      </c>
      <c r="G2953" s="1"/>
    </row>
    <row r="2954" spans="1:7" ht="14.1" customHeight="1">
      <c r="A2954" s="480">
        <v>10</v>
      </c>
      <c r="B2954" s="13"/>
      <c r="C2954" s="11"/>
      <c r="D2954" s="14"/>
      <c r="E2954" s="18"/>
      <c r="F2954" s="375">
        <f t="shared" si="147"/>
        <v>0</v>
      </c>
      <c r="G2954" s="1"/>
    </row>
    <row r="2955" spans="1:7" ht="14.1" customHeight="1">
      <c r="A2955" s="480">
        <v>11</v>
      </c>
      <c r="B2955" s="13"/>
      <c r="C2955" s="11"/>
      <c r="D2955" s="11"/>
      <c r="E2955" s="18"/>
      <c r="F2955" s="375">
        <f t="shared" si="147"/>
        <v>0</v>
      </c>
      <c r="G2955" s="1"/>
    </row>
    <row r="2956" spans="1:7" ht="14.1" customHeight="1" thickBot="1">
      <c r="A2956" s="480">
        <v>12</v>
      </c>
      <c r="B2956" s="13"/>
      <c r="C2956" s="11"/>
      <c r="D2956" s="11"/>
      <c r="E2956" s="18"/>
      <c r="F2956" s="375">
        <f t="shared" si="147"/>
        <v>0</v>
      </c>
      <c r="G2956" s="1"/>
    </row>
    <row r="2957" spans="1:7" ht="14.1" customHeight="1" thickBot="1">
      <c r="A2957" s="481"/>
      <c r="B2957" s="5"/>
      <c r="C2957" s="367"/>
      <c r="D2957" s="367"/>
      <c r="E2957" s="367" t="s">
        <v>151</v>
      </c>
      <c r="F2957" s="376">
        <f>SUM(F2945:F2956)</f>
        <v>1714.2</v>
      </c>
      <c r="G2957" s="1"/>
    </row>
    <row r="2958" spans="1:7" ht="14.1" customHeight="1">
      <c r="A2958" s="482"/>
      <c r="B2958" s="405"/>
      <c r="C2958" s="409"/>
      <c r="D2958" s="409"/>
      <c r="E2958" s="409"/>
      <c r="F2958" s="409"/>
      <c r="G2958" s="1"/>
    </row>
    <row r="2959" spans="1:7" ht="14.1" customHeight="1">
      <c r="A2959" s="625" t="s">
        <v>152</v>
      </c>
      <c r="B2959" s="625"/>
      <c r="C2959" s="625"/>
      <c r="D2959" s="625"/>
      <c r="E2959" s="625"/>
      <c r="F2959" s="625"/>
      <c r="G2959" s="1"/>
    </row>
    <row r="2960" spans="1:7" ht="14.1" customHeight="1">
      <c r="A2960" s="482"/>
      <c r="B2960" s="405"/>
      <c r="C2960" s="409"/>
      <c r="D2960" s="409"/>
      <c r="E2960" s="409"/>
      <c r="F2960" s="367"/>
      <c r="G2960" s="1"/>
    </row>
    <row r="2961" spans="1:7" ht="14.1" customHeight="1">
      <c r="A2961" s="480">
        <v>13</v>
      </c>
      <c r="B2961" s="17" t="s">
        <v>153</v>
      </c>
      <c r="C2961" s="11" t="s">
        <v>154</v>
      </c>
      <c r="D2961" s="14">
        <f>D2948</f>
        <v>0.8</v>
      </c>
      <c r="E2961" s="18">
        <f>'Mano de obra'!$J$20</f>
        <v>82.610000000000014</v>
      </c>
      <c r="F2961" s="375">
        <f>ROUND(D2961*E2961, 2)</f>
        <v>66.09</v>
      </c>
      <c r="G2961" s="1"/>
    </row>
    <row r="2962" spans="1:7" ht="14.1" customHeight="1">
      <c r="A2962" s="480">
        <v>14</v>
      </c>
      <c r="B2962" s="17" t="s">
        <v>155</v>
      </c>
      <c r="C2962" s="11" t="s">
        <v>154</v>
      </c>
      <c r="D2962" s="14">
        <v>0.8</v>
      </c>
      <c r="E2962" s="18">
        <f>'Mano de obra'!$J$21</f>
        <v>70.38</v>
      </c>
      <c r="F2962" s="375">
        <f t="shared" ref="F2962:F2965" si="148">ROUND(D2962*E2962, 2)</f>
        <v>56.3</v>
      </c>
      <c r="G2962" s="1"/>
    </row>
    <row r="2963" spans="1:7" ht="14.1" customHeight="1">
      <c r="A2963" s="480">
        <v>15</v>
      </c>
      <c r="B2963" s="17" t="s">
        <v>156</v>
      </c>
      <c r="C2963" s="11" t="s">
        <v>154</v>
      </c>
      <c r="D2963" s="14"/>
      <c r="E2963" s="18">
        <f>'Mano de obra'!$J$22</f>
        <v>64.78</v>
      </c>
      <c r="F2963" s="375">
        <f t="shared" si="148"/>
        <v>0</v>
      </c>
      <c r="G2963" s="1"/>
    </row>
    <row r="2964" spans="1:7" ht="14.1" customHeight="1">
      <c r="A2964" s="480">
        <v>16</v>
      </c>
      <c r="B2964" s="17" t="s">
        <v>157</v>
      </c>
      <c r="C2964" s="11" t="s">
        <v>154</v>
      </c>
      <c r="D2964" s="14">
        <v>0.8</v>
      </c>
      <c r="E2964" s="18">
        <f>'Mano de obra'!$J$23</f>
        <v>59.800000000000004</v>
      </c>
      <c r="F2964" s="375">
        <f t="shared" si="148"/>
        <v>47.84</v>
      </c>
      <c r="G2964" s="1"/>
    </row>
    <row r="2965" spans="1:7" ht="14.1" customHeight="1" thickBot="1">
      <c r="A2965" s="480">
        <v>17</v>
      </c>
      <c r="B2965" s="13"/>
      <c r="C2965" s="11"/>
      <c r="D2965" s="11"/>
      <c r="E2965" s="18"/>
      <c r="F2965" s="375">
        <f t="shared" si="148"/>
        <v>0</v>
      </c>
      <c r="G2965" s="1"/>
    </row>
    <row r="2966" spans="1:7" ht="14.1" customHeight="1" thickBot="1">
      <c r="A2966" s="483"/>
      <c r="B2966" s="405"/>
      <c r="C2966" s="409"/>
      <c r="D2966" s="409"/>
      <c r="E2966" s="367" t="s">
        <v>158</v>
      </c>
      <c r="F2966" s="376">
        <f>SUM(F2961:F2965)</f>
        <v>170.23000000000002</v>
      </c>
      <c r="G2966" s="1"/>
    </row>
    <row r="2967" spans="1:7" ht="14.1" customHeight="1" thickBot="1">
      <c r="A2967" s="484"/>
      <c r="B2967" s="405"/>
      <c r="C2967" s="409"/>
      <c r="D2967" s="409"/>
      <c r="E2967" s="409"/>
      <c r="F2967" s="367"/>
      <c r="G2967" s="1"/>
    </row>
    <row r="2968" spans="1:7" ht="14.1" customHeight="1" thickBot="1">
      <c r="A2968" s="480"/>
      <c r="B2968" s="142" t="s">
        <v>273</v>
      </c>
      <c r="C2968" s="369"/>
      <c r="D2968" s="369"/>
      <c r="E2968" s="377" t="s">
        <v>159</v>
      </c>
      <c r="F2968" s="376">
        <f>SUM(F2957+F2966)</f>
        <v>1884.43</v>
      </c>
      <c r="G2968" s="1"/>
    </row>
    <row r="2969" spans="1:7" ht="15" customHeight="1">
      <c r="A2969" s="626"/>
      <c r="B2969" s="627" t="s">
        <v>274</v>
      </c>
      <c r="C2969" s="628"/>
      <c r="D2969" s="628"/>
      <c r="E2969" s="629" t="s">
        <v>275</v>
      </c>
      <c r="F2969" s="631">
        <f>ROUND(F2968*'Coef. resumen'!$F$23, 2)</f>
        <v>2792.73</v>
      </c>
    </row>
    <row r="2970" spans="1:7" ht="15" customHeight="1" thickBot="1">
      <c r="A2970" s="626"/>
      <c r="B2970" s="627"/>
      <c r="C2970" s="628"/>
      <c r="D2970" s="628"/>
      <c r="E2970" s="630"/>
      <c r="F2970" s="632"/>
    </row>
    <row r="2971" spans="1:7" ht="15">
      <c r="A2971" s="471"/>
      <c r="B2971" s="2"/>
      <c r="C2971" s="410"/>
      <c r="D2971" s="410"/>
      <c r="E2971" s="410"/>
      <c r="F2971" s="410"/>
    </row>
    <row r="2972" spans="1:7" ht="15">
      <c r="A2972" s="471"/>
      <c r="B2972" s="2"/>
      <c r="C2972" s="410"/>
      <c r="D2972" s="410"/>
      <c r="E2972" s="410"/>
      <c r="F2972" s="410"/>
    </row>
    <row r="2973" spans="1:7" ht="15">
      <c r="A2973" s="471"/>
      <c r="B2973" s="194" t="str">
        <f>'Coef. resumen'!$B$30</f>
        <v>Julián Antonelli</v>
      </c>
      <c r="C2973" s="524"/>
      <c r="D2973" s="524"/>
      <c r="E2973" s="194" t="str">
        <f>'Coef. resumen'!$E$30</f>
        <v>Marcelo A. Pasquini</v>
      </c>
      <c r="F2973" s="410"/>
    </row>
    <row r="2974" spans="1:7" ht="15">
      <c r="A2974" s="471"/>
      <c r="B2974" s="194" t="str">
        <f>'Coef. resumen'!$B$31</f>
        <v>Ing. Civil M.P. 2161</v>
      </c>
      <c r="C2974" s="524"/>
      <c r="D2974" s="524"/>
      <c r="E2974" s="194" t="str">
        <f>'Coef. resumen'!$E$31</f>
        <v>Socio Gerente</v>
      </c>
      <c r="F2974" s="410"/>
    </row>
    <row r="2975" spans="1:7" ht="15">
      <c r="A2975" s="471"/>
      <c r="B2975" s="194" t="str">
        <f>'Coef. resumen'!$B$32</f>
        <v>Representante Técnico</v>
      </c>
      <c r="C2975" s="524"/>
      <c r="D2975" s="19"/>
      <c r="E2975" s="194" t="str">
        <f>'Coef. resumen'!$E$32</f>
        <v>Pasquini Construcciones SRL</v>
      </c>
      <c r="F2975" s="410"/>
    </row>
    <row r="2976" spans="1:7" ht="15">
      <c r="A2976" s="471"/>
      <c r="B2976" s="194"/>
      <c r="C2976" s="410"/>
      <c r="D2976" s="19"/>
      <c r="E2976" s="194"/>
      <c r="F2976" s="410"/>
    </row>
  </sheetData>
  <protectedRanges>
    <protectedRange sqref="B1065:B1071 E1065:E1071 B1105:B1111 E1105:E1111 B1145 E1145:E1151 B1147:B1151 B1185 E1185:E1191 B1187:B1191 B1225 E1225:E1231 B1227:B1231 B1265 E1265:E1271 B1267:B1271 B1305 E1305:E1311 B1307:B1311 B1425:B1431 E1425:E1431 B1465:B1471 E1465:E1471 B1505 B1507:B1511 B1545 B1547:B1551 B1585 E1585:E1591 B1587:B1591 B1625 B1627:B1631 B1665 E1665:E1671 B1667:B1671 E1505:E1511 E1545:E1551 E1625:E1631 E1705 E1745 E1785 E1825 B2025:B2031 E2025:E2031 B2065:B2071 E2065:E2071 B2265:B2271 E2265:E2271 B2305:B2311 E2305:E2311 B2345:B2351 E2345:E2351 B2385:B2391 E2385:E2391 B2425:B2431 E2425:E2431 B2393" name="Materiales_2"/>
    <protectedRange sqref="D1065:D1071 D1145:D1151 D1185:D1191 D1225:D1231 D1265:D1271 D1305:D1311 D1425:D1431 D1465:D1471 D1505:D1511 D1545:D1551 D1585:D1591 D1625:D1631 D1665:D1671 D1105:D1111 D2025:D2031 D2065:D2071 D2305:D2311 D2345:D2352 D2385:D2392 D2425:D2432 D2265:D2271" name="Materiales_3"/>
    <protectedRange sqref="C1065:C1071 C1105:C1111 C1145:C1151 C1185:C1191 C1225:C1231 C1265:C1271 C1305:C1311 C1425:C1431 C1465:C1471 C1505:C1511 C1545:C1551 C1585:C1591 C1625:C1631 C1665:C1671 C2025:C2031 C2065:C2071 C2265:C2271 C2305:C2311 C2345:C2351 C2385:C2391 C2425:C2432" name="Materiales_2_1"/>
    <protectedRange sqref="B1146 B1186 B1226 B1266 B1306 B1506 B1546 B1586 B1626 B1666" name="Materiales_42"/>
    <protectedRange sqref="I1706:L1711 B1705:B1710 I1746:L1751 B1745:B1750 I1786:L1791 B1785:B1790 I1826:L1831 B1829:B1830 I1866:L1871 I2106:L2111" name="Materiales_2_3"/>
    <protectedRange sqref="M1706:N1711 C1705:D1710 M1746:N1751 C1745:D1750 M1786:N1791 C1785:D1790 M1826:N1831 C1829:D1830 M1866:N1871 M2106:N2111" name="Materiales_4_1"/>
    <protectedRange sqref="B1825:B1828" name="Materiales"/>
    <protectedRange sqref="C1825:C1828" name="Materiales_1"/>
    <protectedRange sqref="D1825:D1828" name="Materiales_5"/>
  </protectedRanges>
  <mergeCells count="741">
    <mergeCell ref="B2737:D2740"/>
    <mergeCell ref="A2738:A2740"/>
    <mergeCell ref="A2742:F2742"/>
    <mergeCell ref="A2759:F2759"/>
    <mergeCell ref="A2769:A2770"/>
    <mergeCell ref="B2769:B2770"/>
    <mergeCell ref="C2769:C2770"/>
    <mergeCell ref="D2769:D2770"/>
    <mergeCell ref="E2769:E2770"/>
    <mergeCell ref="F2769:F2770"/>
    <mergeCell ref="B2697:D2700"/>
    <mergeCell ref="A2698:A2700"/>
    <mergeCell ref="A2702:F2702"/>
    <mergeCell ref="A2719:F2719"/>
    <mergeCell ref="A2729:A2730"/>
    <mergeCell ref="B2729:B2730"/>
    <mergeCell ref="C2729:C2730"/>
    <mergeCell ref="D2729:D2730"/>
    <mergeCell ref="E2729:E2730"/>
    <mergeCell ref="F2729:F2730"/>
    <mergeCell ref="B2657:D2660"/>
    <mergeCell ref="A2658:A2660"/>
    <mergeCell ref="A2662:F2662"/>
    <mergeCell ref="A2679:F2679"/>
    <mergeCell ref="A2689:A2690"/>
    <mergeCell ref="B2689:B2690"/>
    <mergeCell ref="C2689:C2690"/>
    <mergeCell ref="D2689:D2690"/>
    <mergeCell ref="E2689:E2690"/>
    <mergeCell ref="F2689:F2690"/>
    <mergeCell ref="B2617:D2620"/>
    <mergeCell ref="A2618:A2620"/>
    <mergeCell ref="A2622:F2622"/>
    <mergeCell ref="A2639:F2639"/>
    <mergeCell ref="A2649:A2650"/>
    <mergeCell ref="B2649:B2650"/>
    <mergeCell ref="C2649:C2650"/>
    <mergeCell ref="D2649:D2650"/>
    <mergeCell ref="E2649:E2650"/>
    <mergeCell ref="F2649:F2650"/>
    <mergeCell ref="B2577:D2580"/>
    <mergeCell ref="A2578:A2580"/>
    <mergeCell ref="A2582:F2582"/>
    <mergeCell ref="A2599:F2599"/>
    <mergeCell ref="A2609:A2610"/>
    <mergeCell ref="B2609:B2610"/>
    <mergeCell ref="C2609:C2610"/>
    <mergeCell ref="D2609:D2610"/>
    <mergeCell ref="E2609:E2610"/>
    <mergeCell ref="F2609:F2610"/>
    <mergeCell ref="B2537:D2540"/>
    <mergeCell ref="A2538:A2540"/>
    <mergeCell ref="A2542:F2542"/>
    <mergeCell ref="A2559:F2559"/>
    <mergeCell ref="A2569:A2570"/>
    <mergeCell ref="B2569:B2570"/>
    <mergeCell ref="C2569:C2570"/>
    <mergeCell ref="D2569:D2570"/>
    <mergeCell ref="E2569:E2570"/>
    <mergeCell ref="F2569:F2570"/>
    <mergeCell ref="B2497:D2500"/>
    <mergeCell ref="A2498:A2500"/>
    <mergeCell ref="A2502:F2502"/>
    <mergeCell ref="A2519:F2519"/>
    <mergeCell ref="A2529:A2530"/>
    <mergeCell ref="B2529:B2530"/>
    <mergeCell ref="C2529:C2530"/>
    <mergeCell ref="D2529:D2530"/>
    <mergeCell ref="E2529:E2530"/>
    <mergeCell ref="F2529:F2530"/>
    <mergeCell ref="B2457:D2460"/>
    <mergeCell ref="A2458:A2460"/>
    <mergeCell ref="A2462:F2462"/>
    <mergeCell ref="A2479:F2479"/>
    <mergeCell ref="A2489:A2490"/>
    <mergeCell ref="B2489:B2490"/>
    <mergeCell ref="C2489:C2490"/>
    <mergeCell ref="D2489:D2490"/>
    <mergeCell ref="E2489:E2490"/>
    <mergeCell ref="F2489:F2490"/>
    <mergeCell ref="B2417:D2420"/>
    <mergeCell ref="A2418:A2420"/>
    <mergeCell ref="A2422:F2422"/>
    <mergeCell ref="A2439:F2439"/>
    <mergeCell ref="A2449:A2450"/>
    <mergeCell ref="B2449:B2450"/>
    <mergeCell ref="C2449:C2450"/>
    <mergeCell ref="D2449:D2450"/>
    <mergeCell ref="E2449:E2450"/>
    <mergeCell ref="F2449:F2450"/>
    <mergeCell ref="B2377:D2380"/>
    <mergeCell ref="A2378:A2380"/>
    <mergeCell ref="A2382:F2382"/>
    <mergeCell ref="A2399:F2399"/>
    <mergeCell ref="A2409:A2410"/>
    <mergeCell ref="B2409:B2410"/>
    <mergeCell ref="C2409:C2410"/>
    <mergeCell ref="D2409:D2410"/>
    <mergeCell ref="E2409:E2410"/>
    <mergeCell ref="F2409:F2410"/>
    <mergeCell ref="B2337:D2340"/>
    <mergeCell ref="A2338:A2340"/>
    <mergeCell ref="A2342:F2342"/>
    <mergeCell ref="A2359:F2359"/>
    <mergeCell ref="A2369:A2370"/>
    <mergeCell ref="B2369:B2370"/>
    <mergeCell ref="C2369:C2370"/>
    <mergeCell ref="D2369:D2370"/>
    <mergeCell ref="E2369:E2370"/>
    <mergeCell ref="F2369:F2370"/>
    <mergeCell ref="B2297:D2300"/>
    <mergeCell ref="A2298:A2300"/>
    <mergeCell ref="A2302:F2302"/>
    <mergeCell ref="A2319:F2319"/>
    <mergeCell ref="A2329:A2330"/>
    <mergeCell ref="B2329:B2330"/>
    <mergeCell ref="C2329:C2330"/>
    <mergeCell ref="D2329:D2330"/>
    <mergeCell ref="E2329:E2330"/>
    <mergeCell ref="F2329:F2330"/>
    <mergeCell ref="B2257:D2260"/>
    <mergeCell ref="A2258:A2260"/>
    <mergeCell ref="A2262:F2262"/>
    <mergeCell ref="A2279:F2279"/>
    <mergeCell ref="A2289:A2290"/>
    <mergeCell ref="B2289:B2290"/>
    <mergeCell ref="C2289:C2290"/>
    <mergeCell ref="D2289:D2290"/>
    <mergeCell ref="E2289:E2290"/>
    <mergeCell ref="F2289:F2290"/>
    <mergeCell ref="B2217:D2220"/>
    <mergeCell ref="A2218:A2220"/>
    <mergeCell ref="A2222:F2222"/>
    <mergeCell ref="A2239:F2239"/>
    <mergeCell ref="A2249:A2250"/>
    <mergeCell ref="B2249:B2250"/>
    <mergeCell ref="C2249:C2250"/>
    <mergeCell ref="D2249:D2250"/>
    <mergeCell ref="E2249:E2250"/>
    <mergeCell ref="F2249:F2250"/>
    <mergeCell ref="B2177:D2180"/>
    <mergeCell ref="A2178:A2180"/>
    <mergeCell ref="A2182:F2182"/>
    <mergeCell ref="A2199:F2199"/>
    <mergeCell ref="A2209:A2210"/>
    <mergeCell ref="B2209:B2210"/>
    <mergeCell ref="C2209:C2210"/>
    <mergeCell ref="D2209:D2210"/>
    <mergeCell ref="E2209:E2210"/>
    <mergeCell ref="F2209:F2210"/>
    <mergeCell ref="B2137:D2140"/>
    <mergeCell ref="A2138:A2140"/>
    <mergeCell ref="A2142:F2142"/>
    <mergeCell ref="A2159:F2159"/>
    <mergeCell ref="A2169:A2170"/>
    <mergeCell ref="B2169:B2170"/>
    <mergeCell ref="C2169:C2170"/>
    <mergeCell ref="D2169:D2170"/>
    <mergeCell ref="E2169:E2170"/>
    <mergeCell ref="F2169:F2170"/>
    <mergeCell ref="B2097:D2100"/>
    <mergeCell ref="A2098:A2100"/>
    <mergeCell ref="A2102:F2102"/>
    <mergeCell ref="A2119:F2119"/>
    <mergeCell ref="A2129:A2130"/>
    <mergeCell ref="B2129:B2130"/>
    <mergeCell ref="C2129:C2130"/>
    <mergeCell ref="D2129:D2130"/>
    <mergeCell ref="E2129:E2130"/>
    <mergeCell ref="F2129:F2130"/>
    <mergeCell ref="A1302:F1302"/>
    <mergeCell ref="A1319:F1319"/>
    <mergeCell ref="A1329:A1330"/>
    <mergeCell ref="B1329:B1330"/>
    <mergeCell ref="C1329:C1330"/>
    <mergeCell ref="D1329:D1330"/>
    <mergeCell ref="E1329:E1330"/>
    <mergeCell ref="F1329:F1330"/>
    <mergeCell ref="A1262:F1262"/>
    <mergeCell ref="A1279:F1279"/>
    <mergeCell ref="A1289:A1290"/>
    <mergeCell ref="B1289:B1290"/>
    <mergeCell ref="C1289:C1290"/>
    <mergeCell ref="D1289:D1290"/>
    <mergeCell ref="E1289:E1290"/>
    <mergeCell ref="F1289:F1290"/>
    <mergeCell ref="B1297:D1300"/>
    <mergeCell ref="A1298:A1300"/>
    <mergeCell ref="A1222:F1222"/>
    <mergeCell ref="A1239:F1239"/>
    <mergeCell ref="A1249:A1250"/>
    <mergeCell ref="B1249:B1250"/>
    <mergeCell ref="C1249:C1250"/>
    <mergeCell ref="D1249:D1250"/>
    <mergeCell ref="E1249:E1250"/>
    <mergeCell ref="F1249:F1250"/>
    <mergeCell ref="B1257:D1260"/>
    <mergeCell ref="A1258:A1260"/>
    <mergeCell ref="A1182:F1182"/>
    <mergeCell ref="A1199:F1199"/>
    <mergeCell ref="A1209:A1210"/>
    <mergeCell ref="B1209:B1210"/>
    <mergeCell ref="C1209:C1210"/>
    <mergeCell ref="D1209:D1210"/>
    <mergeCell ref="E1209:E1210"/>
    <mergeCell ref="F1209:F1210"/>
    <mergeCell ref="B1217:D1220"/>
    <mergeCell ref="A1218:A1220"/>
    <mergeCell ref="A1142:F1142"/>
    <mergeCell ref="A1159:F1159"/>
    <mergeCell ref="A1169:A1170"/>
    <mergeCell ref="B1169:B1170"/>
    <mergeCell ref="C1169:C1170"/>
    <mergeCell ref="D1169:D1170"/>
    <mergeCell ref="E1169:E1170"/>
    <mergeCell ref="F1169:F1170"/>
    <mergeCell ref="B1177:D1180"/>
    <mergeCell ref="A1178:A1180"/>
    <mergeCell ref="A1102:F1102"/>
    <mergeCell ref="A1119:F1119"/>
    <mergeCell ref="A1129:A1130"/>
    <mergeCell ref="B1129:B1130"/>
    <mergeCell ref="C1129:C1130"/>
    <mergeCell ref="D1129:D1130"/>
    <mergeCell ref="E1129:E1130"/>
    <mergeCell ref="F1129:F1130"/>
    <mergeCell ref="B1137:D1140"/>
    <mergeCell ref="A1138:A1140"/>
    <mergeCell ref="A1062:F1062"/>
    <mergeCell ref="A1079:F1079"/>
    <mergeCell ref="A1089:A1090"/>
    <mergeCell ref="B1089:B1090"/>
    <mergeCell ref="C1089:C1090"/>
    <mergeCell ref="D1089:D1090"/>
    <mergeCell ref="E1089:E1090"/>
    <mergeCell ref="F1089:F1090"/>
    <mergeCell ref="B1097:D1100"/>
    <mergeCell ref="A1098:A1100"/>
    <mergeCell ref="A1022:F1022"/>
    <mergeCell ref="A1039:F1039"/>
    <mergeCell ref="A1049:A1050"/>
    <mergeCell ref="B1049:B1050"/>
    <mergeCell ref="C1049:C1050"/>
    <mergeCell ref="D1049:D1050"/>
    <mergeCell ref="E1049:E1050"/>
    <mergeCell ref="F1049:F1050"/>
    <mergeCell ref="B1057:D1060"/>
    <mergeCell ref="A1058:A1060"/>
    <mergeCell ref="A982:F982"/>
    <mergeCell ref="A999:F999"/>
    <mergeCell ref="A1009:A1010"/>
    <mergeCell ref="B1009:B1010"/>
    <mergeCell ref="C1009:C1010"/>
    <mergeCell ref="D1009:D1010"/>
    <mergeCell ref="E1009:E1010"/>
    <mergeCell ref="F1009:F1010"/>
    <mergeCell ref="B1017:D1020"/>
    <mergeCell ref="A1018:A1020"/>
    <mergeCell ref="A942:F942"/>
    <mergeCell ref="A959:F959"/>
    <mergeCell ref="A969:A970"/>
    <mergeCell ref="B969:B970"/>
    <mergeCell ref="C969:C970"/>
    <mergeCell ref="D969:D970"/>
    <mergeCell ref="E969:E970"/>
    <mergeCell ref="F969:F970"/>
    <mergeCell ref="B977:D980"/>
    <mergeCell ref="A978:A980"/>
    <mergeCell ref="A902:F902"/>
    <mergeCell ref="A919:F919"/>
    <mergeCell ref="A929:A930"/>
    <mergeCell ref="B929:B930"/>
    <mergeCell ref="C929:C930"/>
    <mergeCell ref="D929:D930"/>
    <mergeCell ref="E929:E930"/>
    <mergeCell ref="F929:F930"/>
    <mergeCell ref="B937:D940"/>
    <mergeCell ref="A938:A940"/>
    <mergeCell ref="A862:F862"/>
    <mergeCell ref="A879:F879"/>
    <mergeCell ref="A889:A890"/>
    <mergeCell ref="B889:B890"/>
    <mergeCell ref="C889:C890"/>
    <mergeCell ref="D889:D890"/>
    <mergeCell ref="E889:E890"/>
    <mergeCell ref="F889:F890"/>
    <mergeCell ref="B897:D900"/>
    <mergeCell ref="A898:A900"/>
    <mergeCell ref="A822:F822"/>
    <mergeCell ref="A839:F839"/>
    <mergeCell ref="A849:A850"/>
    <mergeCell ref="B849:B850"/>
    <mergeCell ref="C849:C850"/>
    <mergeCell ref="D849:D850"/>
    <mergeCell ref="E849:E850"/>
    <mergeCell ref="F849:F850"/>
    <mergeCell ref="B857:D860"/>
    <mergeCell ref="A858:A860"/>
    <mergeCell ref="A782:F782"/>
    <mergeCell ref="A799:F799"/>
    <mergeCell ref="A809:A810"/>
    <mergeCell ref="B809:B810"/>
    <mergeCell ref="C809:C810"/>
    <mergeCell ref="D809:D810"/>
    <mergeCell ref="E809:E810"/>
    <mergeCell ref="F809:F810"/>
    <mergeCell ref="B817:D820"/>
    <mergeCell ref="A818:A820"/>
    <mergeCell ref="A742:F742"/>
    <mergeCell ref="A759:F759"/>
    <mergeCell ref="A769:A770"/>
    <mergeCell ref="B769:B770"/>
    <mergeCell ref="C769:C770"/>
    <mergeCell ref="D769:D770"/>
    <mergeCell ref="E769:E770"/>
    <mergeCell ref="F769:F770"/>
    <mergeCell ref="B777:D780"/>
    <mergeCell ref="A778:A780"/>
    <mergeCell ref="A702:F702"/>
    <mergeCell ref="A719:F719"/>
    <mergeCell ref="A729:A730"/>
    <mergeCell ref="B729:B730"/>
    <mergeCell ref="C729:C730"/>
    <mergeCell ref="D729:D730"/>
    <mergeCell ref="E729:E730"/>
    <mergeCell ref="F729:F730"/>
    <mergeCell ref="B737:D740"/>
    <mergeCell ref="A738:A740"/>
    <mergeCell ref="A662:F662"/>
    <mergeCell ref="A679:F679"/>
    <mergeCell ref="A689:A690"/>
    <mergeCell ref="B689:B690"/>
    <mergeCell ref="C689:C690"/>
    <mergeCell ref="D689:D690"/>
    <mergeCell ref="E689:E690"/>
    <mergeCell ref="F689:F690"/>
    <mergeCell ref="B697:D700"/>
    <mergeCell ref="A698:A700"/>
    <mergeCell ref="A622:F622"/>
    <mergeCell ref="A639:F639"/>
    <mergeCell ref="A649:A650"/>
    <mergeCell ref="B649:B650"/>
    <mergeCell ref="C649:C650"/>
    <mergeCell ref="D649:D650"/>
    <mergeCell ref="E649:E650"/>
    <mergeCell ref="F649:F650"/>
    <mergeCell ref="B657:D660"/>
    <mergeCell ref="A658:A660"/>
    <mergeCell ref="A582:F582"/>
    <mergeCell ref="A599:F599"/>
    <mergeCell ref="A609:A610"/>
    <mergeCell ref="B609:B610"/>
    <mergeCell ref="C609:C610"/>
    <mergeCell ref="D609:D610"/>
    <mergeCell ref="E609:E610"/>
    <mergeCell ref="F609:F610"/>
    <mergeCell ref="B617:D620"/>
    <mergeCell ref="A618:A620"/>
    <mergeCell ref="A542:F542"/>
    <mergeCell ref="A559:F559"/>
    <mergeCell ref="A569:A570"/>
    <mergeCell ref="B569:B570"/>
    <mergeCell ref="C569:C570"/>
    <mergeCell ref="D569:D570"/>
    <mergeCell ref="E569:E570"/>
    <mergeCell ref="F569:F570"/>
    <mergeCell ref="B577:D580"/>
    <mergeCell ref="A578:A580"/>
    <mergeCell ref="A502:F502"/>
    <mergeCell ref="A519:F519"/>
    <mergeCell ref="A529:A530"/>
    <mergeCell ref="B529:B530"/>
    <mergeCell ref="C529:C530"/>
    <mergeCell ref="D529:D530"/>
    <mergeCell ref="E529:E530"/>
    <mergeCell ref="F529:F530"/>
    <mergeCell ref="B537:D540"/>
    <mergeCell ref="A538:A540"/>
    <mergeCell ref="A462:F462"/>
    <mergeCell ref="A479:F479"/>
    <mergeCell ref="A489:A490"/>
    <mergeCell ref="B489:B490"/>
    <mergeCell ref="C489:C490"/>
    <mergeCell ref="D489:D490"/>
    <mergeCell ref="E489:E490"/>
    <mergeCell ref="F489:F490"/>
    <mergeCell ref="B497:D500"/>
    <mergeCell ref="A498:A500"/>
    <mergeCell ref="A422:F422"/>
    <mergeCell ref="A439:F439"/>
    <mergeCell ref="A449:A450"/>
    <mergeCell ref="B449:B450"/>
    <mergeCell ref="C449:C450"/>
    <mergeCell ref="D449:D450"/>
    <mergeCell ref="E449:E450"/>
    <mergeCell ref="F449:F450"/>
    <mergeCell ref="B457:D460"/>
    <mergeCell ref="A458:A460"/>
    <mergeCell ref="A382:F382"/>
    <mergeCell ref="A399:F399"/>
    <mergeCell ref="A409:A410"/>
    <mergeCell ref="B409:B410"/>
    <mergeCell ref="C409:C410"/>
    <mergeCell ref="D409:D410"/>
    <mergeCell ref="E409:E410"/>
    <mergeCell ref="F409:F410"/>
    <mergeCell ref="B417:D420"/>
    <mergeCell ref="A418:A420"/>
    <mergeCell ref="A359:F359"/>
    <mergeCell ref="A369:A370"/>
    <mergeCell ref="B369:B370"/>
    <mergeCell ref="C369:C370"/>
    <mergeCell ref="D369:D370"/>
    <mergeCell ref="E369:E370"/>
    <mergeCell ref="F369:F370"/>
    <mergeCell ref="B377:D380"/>
    <mergeCell ref="A378:A380"/>
    <mergeCell ref="A329:A330"/>
    <mergeCell ref="B329:B330"/>
    <mergeCell ref="C329:C330"/>
    <mergeCell ref="D329:D330"/>
    <mergeCell ref="E329:E330"/>
    <mergeCell ref="F329:F330"/>
    <mergeCell ref="B337:D340"/>
    <mergeCell ref="A338:A340"/>
    <mergeCell ref="A342:F342"/>
    <mergeCell ref="B289:B290"/>
    <mergeCell ref="C289:C290"/>
    <mergeCell ref="D289:D290"/>
    <mergeCell ref="E289:E290"/>
    <mergeCell ref="F289:F290"/>
    <mergeCell ref="B297:D300"/>
    <mergeCell ref="A298:A300"/>
    <mergeCell ref="A302:F302"/>
    <mergeCell ref="A319:F319"/>
    <mergeCell ref="A89:A90"/>
    <mergeCell ref="B89:B90"/>
    <mergeCell ref="C89:C90"/>
    <mergeCell ref="D89:D90"/>
    <mergeCell ref="E89:E90"/>
    <mergeCell ref="B169:B170"/>
    <mergeCell ref="A169:A170"/>
    <mergeCell ref="A159:F159"/>
    <mergeCell ref="A142:F142"/>
    <mergeCell ref="B137:D140"/>
    <mergeCell ref="A138:A140"/>
    <mergeCell ref="F129:F130"/>
    <mergeCell ref="F169:F170"/>
    <mergeCell ref="E169:E170"/>
    <mergeCell ref="D169:D170"/>
    <mergeCell ref="C169:C170"/>
    <mergeCell ref="A129:A130"/>
    <mergeCell ref="B129:B130"/>
    <mergeCell ref="C129:C130"/>
    <mergeCell ref="D129:D130"/>
    <mergeCell ref="E129:E130"/>
    <mergeCell ref="A15:F15"/>
    <mergeCell ref="A22:F22"/>
    <mergeCell ref="A39:F39"/>
    <mergeCell ref="B17:D20"/>
    <mergeCell ref="A18:A20"/>
    <mergeCell ref="B177:D180"/>
    <mergeCell ref="A178:A180"/>
    <mergeCell ref="A182:F182"/>
    <mergeCell ref="A199:F199"/>
    <mergeCell ref="A49:A50"/>
    <mergeCell ref="B57:D60"/>
    <mergeCell ref="A58:A60"/>
    <mergeCell ref="A62:F62"/>
    <mergeCell ref="A79:F79"/>
    <mergeCell ref="E49:E50"/>
    <mergeCell ref="B49:B50"/>
    <mergeCell ref="C49:C50"/>
    <mergeCell ref="D49:D50"/>
    <mergeCell ref="F49:F50"/>
    <mergeCell ref="F89:F90"/>
    <mergeCell ref="B97:D100"/>
    <mergeCell ref="A98:A100"/>
    <mergeCell ref="A102:F102"/>
    <mergeCell ref="A119:F119"/>
    <mergeCell ref="A209:A210"/>
    <mergeCell ref="B209:B210"/>
    <mergeCell ref="C209:C210"/>
    <mergeCell ref="D209:D210"/>
    <mergeCell ref="E209:E210"/>
    <mergeCell ref="F209:F210"/>
    <mergeCell ref="B1337:D1340"/>
    <mergeCell ref="A1338:A1340"/>
    <mergeCell ref="A1342:F1342"/>
    <mergeCell ref="B217:D220"/>
    <mergeCell ref="A218:A220"/>
    <mergeCell ref="A222:F222"/>
    <mergeCell ref="A239:F239"/>
    <mergeCell ref="A249:A250"/>
    <mergeCell ref="B249:B250"/>
    <mergeCell ref="C249:C250"/>
    <mergeCell ref="D249:D250"/>
    <mergeCell ref="E249:E250"/>
    <mergeCell ref="F249:F250"/>
    <mergeCell ref="B257:D260"/>
    <mergeCell ref="A258:A260"/>
    <mergeCell ref="A262:F262"/>
    <mergeCell ref="A279:F279"/>
    <mergeCell ref="A289:A290"/>
    <mergeCell ref="A1359:F1359"/>
    <mergeCell ref="A1369:A1370"/>
    <mergeCell ref="B1369:B1370"/>
    <mergeCell ref="C1369:C1370"/>
    <mergeCell ref="D1369:D1370"/>
    <mergeCell ref="E1369:E1370"/>
    <mergeCell ref="F1369:F1370"/>
    <mergeCell ref="B1377:D1380"/>
    <mergeCell ref="A1378:A1380"/>
    <mergeCell ref="A1382:F1382"/>
    <mergeCell ref="A1399:F1399"/>
    <mergeCell ref="A1409:A1410"/>
    <mergeCell ref="B1409:B1410"/>
    <mergeCell ref="C1409:C1410"/>
    <mergeCell ref="D1409:D1410"/>
    <mergeCell ref="E1409:E1410"/>
    <mergeCell ref="F1409:F1410"/>
    <mergeCell ref="B1417:D1420"/>
    <mergeCell ref="A1418:A1420"/>
    <mergeCell ref="A1422:F1422"/>
    <mergeCell ref="A1439:F1439"/>
    <mergeCell ref="A1449:A1450"/>
    <mergeCell ref="B1449:B1450"/>
    <mergeCell ref="C1449:C1450"/>
    <mergeCell ref="D1449:D1450"/>
    <mergeCell ref="E1449:E1450"/>
    <mergeCell ref="F1449:F1450"/>
    <mergeCell ref="B1457:D1460"/>
    <mergeCell ref="A1458:A1460"/>
    <mergeCell ref="A1462:F1462"/>
    <mergeCell ref="A1479:F1479"/>
    <mergeCell ref="A1489:A1490"/>
    <mergeCell ref="B1489:B1490"/>
    <mergeCell ref="C1489:C1490"/>
    <mergeCell ref="D1489:D1490"/>
    <mergeCell ref="E1489:E1490"/>
    <mergeCell ref="F1489:F1490"/>
    <mergeCell ref="B1497:D1500"/>
    <mergeCell ref="A1498:A1500"/>
    <mergeCell ref="A1502:F1502"/>
    <mergeCell ref="A1519:F1519"/>
    <mergeCell ref="A1529:A1530"/>
    <mergeCell ref="B1529:B1530"/>
    <mergeCell ref="C1529:C1530"/>
    <mergeCell ref="D1529:D1530"/>
    <mergeCell ref="E1529:E1530"/>
    <mergeCell ref="F1529:F1530"/>
    <mergeCell ref="B1537:D1540"/>
    <mergeCell ref="A1538:A1540"/>
    <mergeCell ref="A1542:F1542"/>
    <mergeCell ref="A1559:F1559"/>
    <mergeCell ref="A1569:A1570"/>
    <mergeCell ref="B1569:B1570"/>
    <mergeCell ref="C1569:C1570"/>
    <mergeCell ref="D1569:D1570"/>
    <mergeCell ref="E1569:E1570"/>
    <mergeCell ref="F1569:F1570"/>
    <mergeCell ref="B1577:D1580"/>
    <mergeCell ref="A1578:A1580"/>
    <mergeCell ref="A1582:F1582"/>
    <mergeCell ref="A1599:F1599"/>
    <mergeCell ref="A1609:A1610"/>
    <mergeCell ref="B1609:B1610"/>
    <mergeCell ref="C1609:C1610"/>
    <mergeCell ref="D1609:D1610"/>
    <mergeCell ref="E1609:E1610"/>
    <mergeCell ref="F1609:F1610"/>
    <mergeCell ref="B1617:D1620"/>
    <mergeCell ref="A1618:A1620"/>
    <mergeCell ref="A1622:F1622"/>
    <mergeCell ref="A1639:F1639"/>
    <mergeCell ref="A1649:A1650"/>
    <mergeCell ref="B1649:B1650"/>
    <mergeCell ref="C1649:C1650"/>
    <mergeCell ref="D1649:D1650"/>
    <mergeCell ref="E1649:E1650"/>
    <mergeCell ref="F1649:F1650"/>
    <mergeCell ref="B1657:D1660"/>
    <mergeCell ref="A1658:A1660"/>
    <mergeCell ref="A1662:F1662"/>
    <mergeCell ref="A1679:F1679"/>
    <mergeCell ref="A1689:A1690"/>
    <mergeCell ref="B1689:B1690"/>
    <mergeCell ref="C1689:C1690"/>
    <mergeCell ref="D1689:D1690"/>
    <mergeCell ref="E1689:E1690"/>
    <mergeCell ref="F1689:F1690"/>
    <mergeCell ref="B1697:D1700"/>
    <mergeCell ref="A1698:A1700"/>
    <mergeCell ref="A1702:F1702"/>
    <mergeCell ref="A1719:F1719"/>
    <mergeCell ref="A1729:A1730"/>
    <mergeCell ref="B1729:B1730"/>
    <mergeCell ref="C1729:C1730"/>
    <mergeCell ref="D1729:D1730"/>
    <mergeCell ref="E1729:E1730"/>
    <mergeCell ref="F1729:F1730"/>
    <mergeCell ref="B1737:D1740"/>
    <mergeCell ref="A1738:A1740"/>
    <mergeCell ref="A1742:F1742"/>
    <mergeCell ref="A1759:F1759"/>
    <mergeCell ref="A1769:A1770"/>
    <mergeCell ref="B1769:B1770"/>
    <mergeCell ref="C1769:C1770"/>
    <mergeCell ref="D1769:D1770"/>
    <mergeCell ref="E1769:E1770"/>
    <mergeCell ref="F1769:F1770"/>
    <mergeCell ref="B1777:D1780"/>
    <mergeCell ref="A1778:A1780"/>
    <mergeCell ref="A1822:F1822"/>
    <mergeCell ref="A1839:F1839"/>
    <mergeCell ref="A1849:A1850"/>
    <mergeCell ref="B1849:B1850"/>
    <mergeCell ref="C1849:C1850"/>
    <mergeCell ref="D1849:D1850"/>
    <mergeCell ref="E1849:E1850"/>
    <mergeCell ref="F1849:F1850"/>
    <mergeCell ref="A1782:F1782"/>
    <mergeCell ref="A1799:F1799"/>
    <mergeCell ref="A1809:A1810"/>
    <mergeCell ref="B1809:B1810"/>
    <mergeCell ref="C1809:C1810"/>
    <mergeCell ref="D1809:D1810"/>
    <mergeCell ref="E1809:E1810"/>
    <mergeCell ref="F1809:F1810"/>
    <mergeCell ref="B1817:D1820"/>
    <mergeCell ref="A1818:A1820"/>
    <mergeCell ref="B1857:D1860"/>
    <mergeCell ref="A1858:A1860"/>
    <mergeCell ref="A1862:F1862"/>
    <mergeCell ref="A1879:F1879"/>
    <mergeCell ref="A1889:A1890"/>
    <mergeCell ref="B1889:B1890"/>
    <mergeCell ref="C1889:C1890"/>
    <mergeCell ref="D1889:D1890"/>
    <mergeCell ref="E1889:E1890"/>
    <mergeCell ref="F1889:F1890"/>
    <mergeCell ref="B1897:D1900"/>
    <mergeCell ref="A1898:A1900"/>
    <mergeCell ref="A1902:F1902"/>
    <mergeCell ref="A1919:F1919"/>
    <mergeCell ref="A1929:A1930"/>
    <mergeCell ref="B1929:B1930"/>
    <mergeCell ref="C1929:C1930"/>
    <mergeCell ref="D1929:D1930"/>
    <mergeCell ref="E1929:E1930"/>
    <mergeCell ref="F1929:F1930"/>
    <mergeCell ref="B1937:D1940"/>
    <mergeCell ref="A1938:A1940"/>
    <mergeCell ref="A1942:F1942"/>
    <mergeCell ref="A1959:F1959"/>
    <mergeCell ref="A1969:A1970"/>
    <mergeCell ref="B1969:B1970"/>
    <mergeCell ref="C1969:C1970"/>
    <mergeCell ref="D1969:D1970"/>
    <mergeCell ref="E1969:E1970"/>
    <mergeCell ref="F1969:F1970"/>
    <mergeCell ref="B1977:D1980"/>
    <mergeCell ref="A1978:A1980"/>
    <mergeCell ref="A1982:F1982"/>
    <mergeCell ref="A1999:F1999"/>
    <mergeCell ref="A2009:A2010"/>
    <mergeCell ref="B2009:B2010"/>
    <mergeCell ref="C2009:C2010"/>
    <mergeCell ref="D2009:D2010"/>
    <mergeCell ref="E2009:E2010"/>
    <mergeCell ref="F2009:F2010"/>
    <mergeCell ref="B2017:D2020"/>
    <mergeCell ref="A2018:A2020"/>
    <mergeCell ref="A2022:F2022"/>
    <mergeCell ref="A2039:F2039"/>
    <mergeCell ref="A2049:A2050"/>
    <mergeCell ref="B2049:B2050"/>
    <mergeCell ref="C2049:C2050"/>
    <mergeCell ref="D2049:D2050"/>
    <mergeCell ref="E2049:E2050"/>
    <mergeCell ref="F2049:F2050"/>
    <mergeCell ref="B2057:D2060"/>
    <mergeCell ref="A2058:A2060"/>
    <mergeCell ref="A2062:F2062"/>
    <mergeCell ref="A2079:F2079"/>
    <mergeCell ref="A2089:A2090"/>
    <mergeCell ref="B2089:B2090"/>
    <mergeCell ref="C2089:C2090"/>
    <mergeCell ref="D2089:D2090"/>
    <mergeCell ref="E2089:E2090"/>
    <mergeCell ref="F2089:F2090"/>
    <mergeCell ref="B2777:D2780"/>
    <mergeCell ref="A2778:A2780"/>
    <mergeCell ref="A2782:F2782"/>
    <mergeCell ref="A2799:F2799"/>
    <mergeCell ref="A2809:A2810"/>
    <mergeCell ref="B2809:B2810"/>
    <mergeCell ref="C2809:C2810"/>
    <mergeCell ref="D2809:D2810"/>
    <mergeCell ref="E2809:E2810"/>
    <mergeCell ref="F2809:F2810"/>
    <mergeCell ref="B2817:D2820"/>
    <mergeCell ref="A2818:A2820"/>
    <mergeCell ref="A2822:F2822"/>
    <mergeCell ref="A2839:F2839"/>
    <mergeCell ref="A2849:A2850"/>
    <mergeCell ref="B2849:B2850"/>
    <mergeCell ref="C2849:C2850"/>
    <mergeCell ref="D2849:D2850"/>
    <mergeCell ref="E2849:E2850"/>
    <mergeCell ref="F2849:F2850"/>
    <mergeCell ref="B2857:D2860"/>
    <mergeCell ref="A2858:A2860"/>
    <mergeCell ref="A2862:F2862"/>
    <mergeCell ref="A2879:F2879"/>
    <mergeCell ref="A2889:A2890"/>
    <mergeCell ref="B2889:B2890"/>
    <mergeCell ref="C2889:C2890"/>
    <mergeCell ref="D2889:D2890"/>
    <mergeCell ref="E2889:E2890"/>
    <mergeCell ref="F2889:F2890"/>
    <mergeCell ref="B2897:D2900"/>
    <mergeCell ref="A2898:A2900"/>
    <mergeCell ref="A2902:F2902"/>
    <mergeCell ref="A2919:F2919"/>
    <mergeCell ref="A2929:A2930"/>
    <mergeCell ref="B2929:B2930"/>
    <mergeCell ref="C2929:C2930"/>
    <mergeCell ref="D2929:D2930"/>
    <mergeCell ref="E2929:E2930"/>
    <mergeCell ref="F2929:F2930"/>
    <mergeCell ref="B2937:D2940"/>
    <mergeCell ref="A2938:A2940"/>
    <mergeCell ref="A2942:F2942"/>
    <mergeCell ref="A2959:F2959"/>
    <mergeCell ref="A2969:A2970"/>
    <mergeCell ref="B2969:B2970"/>
    <mergeCell ref="C2969:C2970"/>
    <mergeCell ref="D2969:D2970"/>
    <mergeCell ref="E2969:E2970"/>
    <mergeCell ref="F2969:F2970"/>
  </mergeCells>
  <printOptions horizontalCentered="1"/>
  <pageMargins left="0.78740157480314965" right="0.39370078740157483" top="0.59055118110236227" bottom="0.55118110236220474" header="0" footer="0"/>
  <pageSetup paperSize="9" orientation="portrait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142"/>
  <sheetViews>
    <sheetView showGridLines="0" tabSelected="1" view="pageBreakPreview" zoomScaleSheetLayoutView="100" workbookViewId="0">
      <selection activeCell="K110" sqref="K110"/>
    </sheetView>
  </sheetViews>
  <sheetFormatPr baseColWidth="10" defaultRowHeight="15"/>
  <cols>
    <col min="1" max="1" width="6" style="2" customWidth="1"/>
    <col min="2" max="2" width="28.85546875" style="2" customWidth="1"/>
    <col min="3" max="3" width="8.28515625" style="329" bestFit="1" customWidth="1"/>
    <col min="4" max="4" width="10.140625" style="486" bestFit="1" customWidth="1"/>
    <col min="5" max="5" width="12.42578125" style="2" bestFit="1" customWidth="1"/>
    <col min="6" max="6" width="14" style="329" bestFit="1" customWidth="1"/>
    <col min="7" max="7" width="15.85546875" style="2" bestFit="1" customWidth="1"/>
    <col min="8" max="8" width="15" style="2" bestFit="1" customWidth="1"/>
    <col min="9" max="9" width="15.7109375" style="456" bestFit="1" customWidth="1"/>
    <col min="10" max="11" width="11.42578125" style="2"/>
    <col min="12" max="12" width="15" style="2" bestFit="1" customWidth="1"/>
    <col min="13" max="16384" width="11.42578125" style="2"/>
  </cols>
  <sheetData>
    <row r="1" spans="1:9" ht="14.1" customHeight="1">
      <c r="A1" s="633"/>
      <c r="B1" s="633"/>
      <c r="C1" s="410"/>
      <c r="F1" s="410"/>
    </row>
    <row r="2" spans="1:9" ht="14.1" customHeight="1">
      <c r="A2" s="633"/>
      <c r="B2" s="633"/>
      <c r="C2" s="410"/>
      <c r="F2" s="410"/>
    </row>
    <row r="3" spans="1:9" ht="14.1" customHeight="1">
      <c r="A3" s="633"/>
      <c r="B3" s="633"/>
      <c r="C3" s="410"/>
      <c r="F3" s="410"/>
    </row>
    <row r="4" spans="1:9" ht="14.1" customHeight="1">
      <c r="A4" s="633"/>
      <c r="B4" s="633"/>
      <c r="C4" s="410"/>
      <c r="F4" s="410"/>
    </row>
    <row r="5" spans="1:9" ht="14.1" customHeight="1">
      <c r="C5" s="410"/>
      <c r="F5" s="410"/>
    </row>
    <row r="6" spans="1:9" ht="14.1" customHeight="1">
      <c r="C6" s="410"/>
      <c r="F6" s="410"/>
    </row>
    <row r="7" spans="1:9" s="3" customFormat="1" ht="5.0999999999999996" customHeight="1">
      <c r="A7" s="24"/>
      <c r="B7" s="25"/>
      <c r="C7" s="407"/>
      <c r="D7" s="487"/>
      <c r="E7" s="407"/>
      <c r="F7" s="407"/>
      <c r="G7" s="420"/>
      <c r="H7" s="421"/>
      <c r="I7" s="457"/>
    </row>
    <row r="8" spans="1:9" s="3" customFormat="1" ht="14.1" customHeight="1">
      <c r="A8" s="26" t="str">
        <f>'Coef. resumen'!A8</f>
        <v>LICITACIÓN PÚBLICA Nº 41/13</v>
      </c>
      <c r="B8" s="23"/>
      <c r="C8" s="364"/>
      <c r="D8" s="488"/>
      <c r="E8" s="7"/>
      <c r="F8" s="426" t="str">
        <f>'Coef. resumen'!E8</f>
        <v>A FECHA:</v>
      </c>
      <c r="G8" s="425" t="str">
        <f>'Coef. resumen'!F8</f>
        <v>Octubre 2013</v>
      </c>
      <c r="H8" s="422"/>
      <c r="I8" s="457"/>
    </row>
    <row r="9" spans="1:9" s="3" customFormat="1" ht="5.0999999999999996" customHeight="1">
      <c r="A9" s="26"/>
      <c r="B9" s="9"/>
      <c r="C9" s="365"/>
      <c r="D9" s="489"/>
      <c r="E9" s="365"/>
      <c r="F9" s="365"/>
      <c r="G9" s="419"/>
      <c r="H9" s="422"/>
      <c r="I9" s="457"/>
    </row>
    <row r="10" spans="1:9" s="3" customFormat="1" ht="14.1" customHeight="1">
      <c r="A10" s="26" t="str">
        <f>'Coef. resumen'!A10</f>
        <v>OBRA: Urbanizacion Valle Chico 1ª etapa: Obras de Infraestructura Pública y Nexos</v>
      </c>
      <c r="B10" s="6"/>
      <c r="C10" s="366"/>
      <c r="D10" s="490"/>
      <c r="E10" s="366"/>
      <c r="F10" s="366"/>
      <c r="G10" s="419"/>
      <c r="H10" s="422"/>
      <c r="I10" s="457"/>
    </row>
    <row r="11" spans="1:9" s="3" customFormat="1" ht="5.0999999999999996" customHeight="1">
      <c r="A11" s="26"/>
      <c r="B11" s="9"/>
      <c r="C11" s="365"/>
      <c r="D11" s="489"/>
      <c r="E11" s="365"/>
      <c r="F11" s="365"/>
      <c r="G11" s="419"/>
      <c r="H11" s="422"/>
      <c r="I11" s="457"/>
    </row>
    <row r="12" spans="1:9" s="3" customFormat="1" ht="14.1" customHeight="1">
      <c r="A12" s="26" t="str">
        <f>'Coef. resumen'!A12</f>
        <v>LOCALIDAD: Esquel</v>
      </c>
      <c r="B12" s="6"/>
      <c r="C12" s="366"/>
      <c r="D12" s="490"/>
      <c r="E12" s="366"/>
      <c r="F12" s="366"/>
      <c r="G12" s="419"/>
      <c r="H12" s="422"/>
      <c r="I12" s="457"/>
    </row>
    <row r="13" spans="1:9" s="3" customFormat="1" ht="5.0999999999999996" customHeight="1">
      <c r="A13" s="28"/>
      <c r="B13" s="10"/>
      <c r="C13" s="408"/>
      <c r="D13" s="491"/>
      <c r="E13" s="408"/>
      <c r="F13" s="408"/>
      <c r="G13" s="423"/>
      <c r="H13" s="424"/>
      <c r="I13" s="457"/>
    </row>
    <row r="14" spans="1:9" s="3" customFormat="1" ht="14.1" customHeight="1">
      <c r="A14" s="7"/>
      <c r="B14" s="6"/>
      <c r="C14" s="366"/>
      <c r="D14" s="490"/>
      <c r="E14" s="366"/>
      <c r="F14" s="8"/>
      <c r="G14" s="1"/>
      <c r="I14" s="457"/>
    </row>
    <row r="15" spans="1:9" s="3" customFormat="1" ht="14.1" customHeight="1">
      <c r="A15" s="612" t="s">
        <v>1243</v>
      </c>
      <c r="B15" s="612"/>
      <c r="C15" s="612"/>
      <c r="D15" s="612"/>
      <c r="E15" s="612"/>
      <c r="F15" s="612"/>
      <c r="G15" s="612"/>
      <c r="H15" s="612"/>
      <c r="I15" s="457"/>
    </row>
    <row r="16" spans="1:9" s="3" customFormat="1" ht="14.1" customHeight="1">
      <c r="A16" s="5"/>
      <c r="B16" s="5"/>
      <c r="C16" s="367"/>
      <c r="D16" s="492"/>
      <c r="E16" s="365"/>
      <c r="F16" s="365"/>
      <c r="G16" s="1"/>
      <c r="I16" s="457"/>
    </row>
    <row r="17" spans="1:8" ht="26.25" customHeight="1">
      <c r="A17" s="303" t="s">
        <v>1148</v>
      </c>
      <c r="B17" s="303" t="s">
        <v>1</v>
      </c>
      <c r="C17" s="303" t="s">
        <v>336</v>
      </c>
      <c r="D17" s="493" t="s">
        <v>0</v>
      </c>
      <c r="E17" s="303" t="s">
        <v>51</v>
      </c>
      <c r="F17" s="303" t="s">
        <v>52</v>
      </c>
      <c r="G17" s="303" t="s">
        <v>1148</v>
      </c>
      <c r="H17" s="303" t="s">
        <v>49</v>
      </c>
    </row>
    <row r="18" spans="1:8" ht="22.5" customHeight="1">
      <c r="A18" s="458">
        <v>1</v>
      </c>
      <c r="B18" s="217" t="s">
        <v>50</v>
      </c>
      <c r="C18" s="380"/>
      <c r="D18" s="494"/>
      <c r="E18" s="218"/>
      <c r="F18" s="378"/>
      <c r="G18" s="219"/>
      <c r="H18" s="428">
        <f>SUM(G19:G69)</f>
        <v>8219735.7799999993</v>
      </c>
    </row>
    <row r="19" spans="1:8">
      <c r="A19" s="459" t="s">
        <v>16</v>
      </c>
      <c r="B19" s="302" t="s">
        <v>59</v>
      </c>
      <c r="G19" s="304">
        <f>SUM(F20:F23)</f>
        <v>2761704.82</v>
      </c>
    </row>
    <row r="20" spans="1:8" ht="42.75" customHeight="1">
      <c r="A20" s="305" t="s">
        <v>17</v>
      </c>
      <c r="B20" s="201" t="s">
        <v>1046</v>
      </c>
      <c r="C20" s="324" t="s">
        <v>53</v>
      </c>
      <c r="D20" s="495">
        <v>7317</v>
      </c>
      <c r="E20" s="306">
        <f>Análisis!F49</f>
        <v>161.12</v>
      </c>
      <c r="F20" s="307">
        <f>ROUND(D20*E20, 2)</f>
        <v>1178915.04</v>
      </c>
      <c r="G20" s="308"/>
      <c r="H20" s="309"/>
    </row>
    <row r="21" spans="1:8" ht="30" customHeight="1">
      <c r="A21" s="305" t="s">
        <v>18</v>
      </c>
      <c r="B21" s="201" t="s">
        <v>1103</v>
      </c>
      <c r="C21" s="324" t="s">
        <v>12</v>
      </c>
      <c r="D21" s="495">
        <v>8021.5</v>
      </c>
      <c r="E21" s="412">
        <f>Análisis!F89</f>
        <v>109.93</v>
      </c>
      <c r="F21" s="307">
        <f t="shared" ref="F21:F23" si="0">ROUND(D21*E21, 2)</f>
        <v>881803.5</v>
      </c>
      <c r="G21" s="308"/>
    </row>
    <row r="22" spans="1:8" ht="30" customHeight="1">
      <c r="A22" s="305" t="s">
        <v>19</v>
      </c>
      <c r="B22" s="201" t="s">
        <v>1231</v>
      </c>
      <c r="C22" s="324" t="s">
        <v>12</v>
      </c>
      <c r="D22" s="495">
        <v>695.5</v>
      </c>
      <c r="E22" s="412">
        <f>Análisis!F129</f>
        <v>169.81</v>
      </c>
      <c r="F22" s="307">
        <f t="shared" si="0"/>
        <v>118102.86</v>
      </c>
      <c r="G22" s="308"/>
    </row>
    <row r="23" spans="1:8" ht="30" customHeight="1">
      <c r="A23" s="305" t="s">
        <v>26</v>
      </c>
      <c r="B23" s="201" t="s">
        <v>1232</v>
      </c>
      <c r="C23" s="324" t="s">
        <v>12</v>
      </c>
      <c r="D23" s="495">
        <v>1445.5</v>
      </c>
      <c r="E23" s="412">
        <f>Análisis!F169</f>
        <v>403.24</v>
      </c>
      <c r="F23" s="307">
        <f t="shared" si="0"/>
        <v>582883.42000000004</v>
      </c>
      <c r="G23" s="308"/>
    </row>
    <row r="24" spans="1:8">
      <c r="A24" s="459" t="s">
        <v>15</v>
      </c>
      <c r="B24" s="302" t="s">
        <v>1018</v>
      </c>
      <c r="G24" s="304">
        <f>SUM(F25:F29)</f>
        <v>159185.35999999999</v>
      </c>
    </row>
    <row r="25" spans="1:8" ht="27" customHeight="1">
      <c r="A25" s="305" t="s">
        <v>20</v>
      </c>
      <c r="B25" s="201" t="s">
        <v>1126</v>
      </c>
      <c r="C25" s="324" t="s">
        <v>9</v>
      </c>
      <c r="D25" s="496">
        <v>6</v>
      </c>
      <c r="E25" s="412">
        <f>Análisis!F209</f>
        <v>6789.25</v>
      </c>
      <c r="F25" s="307">
        <f>ROUND(D25*E25, 2)</f>
        <v>40735.5</v>
      </c>
      <c r="G25" s="308"/>
    </row>
    <row r="26" spans="1:8" ht="27" customHeight="1">
      <c r="A26" s="305" t="s">
        <v>21</v>
      </c>
      <c r="B26" s="201" t="s">
        <v>1127</v>
      </c>
      <c r="C26" s="324" t="s">
        <v>9</v>
      </c>
      <c r="D26" s="495">
        <v>3</v>
      </c>
      <c r="E26" s="412">
        <f>Análisis!F249</f>
        <v>5769.86</v>
      </c>
      <c r="F26" s="307">
        <f t="shared" ref="F26:F48" si="1">ROUND(D26*E26, 2)</f>
        <v>17309.580000000002</v>
      </c>
      <c r="G26" s="308"/>
    </row>
    <row r="27" spans="1:8" ht="27" customHeight="1">
      <c r="A27" s="305" t="s">
        <v>22</v>
      </c>
      <c r="B27" s="201" t="s">
        <v>1128</v>
      </c>
      <c r="C27" s="324" t="s">
        <v>9</v>
      </c>
      <c r="D27" s="495">
        <v>16</v>
      </c>
      <c r="E27" s="412">
        <f>Análisis!F289</f>
        <v>4909.53</v>
      </c>
      <c r="F27" s="307">
        <f t="shared" si="1"/>
        <v>78552.479999999996</v>
      </c>
      <c r="G27" s="308"/>
    </row>
    <row r="28" spans="1:8" ht="27" customHeight="1">
      <c r="A28" s="305" t="s">
        <v>24</v>
      </c>
      <c r="B28" s="201" t="s">
        <v>1129</v>
      </c>
      <c r="C28" s="324" t="s">
        <v>9</v>
      </c>
      <c r="D28" s="495">
        <v>2</v>
      </c>
      <c r="E28" s="412">
        <f>Análisis!F329</f>
        <v>5057.01</v>
      </c>
      <c r="F28" s="307">
        <f t="shared" si="1"/>
        <v>10114.02</v>
      </c>
      <c r="G28" s="308"/>
    </row>
    <row r="29" spans="1:8" ht="38.25">
      <c r="A29" s="305" t="s">
        <v>25</v>
      </c>
      <c r="B29" s="201" t="s">
        <v>1130</v>
      </c>
      <c r="C29" s="324" t="s">
        <v>9</v>
      </c>
      <c r="D29" s="495">
        <v>2</v>
      </c>
      <c r="E29" s="412">
        <f>Análisis!F369</f>
        <v>6236.89</v>
      </c>
      <c r="F29" s="307">
        <f t="shared" si="1"/>
        <v>12473.78</v>
      </c>
      <c r="G29" s="308"/>
    </row>
    <row r="30" spans="1:8">
      <c r="A30" s="459" t="s">
        <v>14</v>
      </c>
      <c r="B30" s="302" t="s">
        <v>1019</v>
      </c>
      <c r="E30" s="413"/>
      <c r="G30" s="304">
        <f>F31</f>
        <v>50822.55</v>
      </c>
    </row>
    <row r="31" spans="1:8" ht="32.25" customHeight="1">
      <c r="A31" s="305" t="s">
        <v>23</v>
      </c>
      <c r="B31" s="201" t="s">
        <v>54</v>
      </c>
      <c r="C31" s="324" t="s">
        <v>9</v>
      </c>
      <c r="D31" s="495">
        <v>9</v>
      </c>
      <c r="E31" s="412">
        <f>Análisis!F409</f>
        <v>5646.95</v>
      </c>
      <c r="F31" s="307">
        <f t="shared" si="1"/>
        <v>50822.55</v>
      </c>
      <c r="G31" s="310"/>
    </row>
    <row r="32" spans="1:8">
      <c r="A32" s="459" t="s">
        <v>41</v>
      </c>
      <c r="B32" s="302" t="s">
        <v>1020</v>
      </c>
      <c r="G32" s="304">
        <f>SUM(F33:F35)</f>
        <v>915162.79999999993</v>
      </c>
    </row>
    <row r="33" spans="1:7" ht="51">
      <c r="A33" s="305" t="s">
        <v>42</v>
      </c>
      <c r="B33" s="466" t="s">
        <v>1131</v>
      </c>
      <c r="C33" s="311" t="s">
        <v>9</v>
      </c>
      <c r="D33" s="496">
        <v>2</v>
      </c>
      <c r="E33" s="412">
        <f>Análisis!F449</f>
        <v>186970.26</v>
      </c>
      <c r="F33" s="307">
        <f t="shared" si="1"/>
        <v>373940.52</v>
      </c>
      <c r="G33" s="308"/>
    </row>
    <row r="34" spans="1:7">
      <c r="A34" s="305" t="s">
        <v>43</v>
      </c>
      <c r="B34" s="466" t="s">
        <v>10</v>
      </c>
      <c r="C34" s="311" t="s">
        <v>9</v>
      </c>
      <c r="D34" s="496">
        <v>2</v>
      </c>
      <c r="E34" s="412">
        <f>Análisis!F489</f>
        <v>247052.84</v>
      </c>
      <c r="F34" s="307">
        <f t="shared" si="1"/>
        <v>494105.68</v>
      </c>
      <c r="G34" s="308"/>
    </row>
    <row r="35" spans="1:7" ht="38.25">
      <c r="A35" s="305" t="s">
        <v>44</v>
      </c>
      <c r="B35" s="466" t="s">
        <v>1132</v>
      </c>
      <c r="C35" s="311" t="s">
        <v>9</v>
      </c>
      <c r="D35" s="496">
        <v>2</v>
      </c>
      <c r="E35" s="412">
        <f>Análisis!F529</f>
        <v>23558.3</v>
      </c>
      <c r="F35" s="307">
        <f t="shared" si="1"/>
        <v>47116.6</v>
      </c>
      <c r="G35" s="308"/>
    </row>
    <row r="36" spans="1:7">
      <c r="A36" s="459">
        <v>1.5</v>
      </c>
      <c r="B36" s="302" t="s">
        <v>64</v>
      </c>
      <c r="G36" s="304">
        <f>SUM(F37:F39)</f>
        <v>912613.28</v>
      </c>
    </row>
    <row r="37" spans="1:7" ht="38.25">
      <c r="A37" s="305" t="s">
        <v>47</v>
      </c>
      <c r="B37" s="201" t="s">
        <v>1046</v>
      </c>
      <c r="C37" s="311" t="s">
        <v>53</v>
      </c>
      <c r="D37" s="496">
        <f>+(D38+D39)*0.6*1.2</f>
        <v>1172.8799999999999</v>
      </c>
      <c r="E37" s="306">
        <f>Análisis!F569</f>
        <v>161.12</v>
      </c>
      <c r="F37" s="307">
        <f t="shared" si="1"/>
        <v>188974.43</v>
      </c>
      <c r="G37" s="308"/>
    </row>
    <row r="38" spans="1:7" ht="38.25">
      <c r="A38" s="305" t="s">
        <v>1149</v>
      </c>
      <c r="B38" s="466" t="s">
        <v>1133</v>
      </c>
      <c r="C38" s="311" t="s">
        <v>4</v>
      </c>
      <c r="D38" s="496">
        <f>+'[5]Red de Agua'!$E$65-330</f>
        <v>1337.5</v>
      </c>
      <c r="E38" s="412">
        <f>Análisis!F609</f>
        <v>421.13</v>
      </c>
      <c r="F38" s="307">
        <f t="shared" si="1"/>
        <v>563261.38</v>
      </c>
      <c r="G38" s="308"/>
    </row>
    <row r="39" spans="1:7" ht="38.25">
      <c r="A39" s="305" t="s">
        <v>48</v>
      </c>
      <c r="B39" s="466" t="s">
        <v>1051</v>
      </c>
      <c r="C39" s="311" t="s">
        <v>4</v>
      </c>
      <c r="D39" s="496">
        <f>+'[5]Red de Agua'!$D$65</f>
        <v>291.5</v>
      </c>
      <c r="E39" s="412">
        <f>Análisis!F649</f>
        <v>550.17999999999995</v>
      </c>
      <c r="F39" s="307">
        <f t="shared" si="1"/>
        <v>160377.47</v>
      </c>
      <c r="G39" s="308"/>
    </row>
    <row r="40" spans="1:7">
      <c r="A40" s="459" t="s">
        <v>65</v>
      </c>
      <c r="B40" s="302" t="s">
        <v>1052</v>
      </c>
      <c r="G40" s="304">
        <f>SUM(F41:F48)</f>
        <v>219948.83999999997</v>
      </c>
    </row>
    <row r="41" spans="1:7">
      <c r="A41" s="305" t="s">
        <v>69</v>
      </c>
      <c r="B41" s="467" t="s">
        <v>13</v>
      </c>
      <c r="C41" s="311" t="s">
        <v>11</v>
      </c>
      <c r="D41" s="496">
        <v>1</v>
      </c>
      <c r="E41" s="306">
        <f>Análisis!F689</f>
        <v>100309.18</v>
      </c>
      <c r="F41" s="307">
        <f t="shared" si="1"/>
        <v>100309.18</v>
      </c>
    </row>
    <row r="42" spans="1:7" ht="25.5">
      <c r="A42" s="305" t="s">
        <v>70</v>
      </c>
      <c r="B42" s="467" t="s">
        <v>1134</v>
      </c>
      <c r="C42" s="311" t="s">
        <v>4</v>
      </c>
      <c r="D42" s="496">
        <v>20</v>
      </c>
      <c r="E42" s="306">
        <f>Análisis!F729</f>
        <v>959.45</v>
      </c>
      <c r="F42" s="307">
        <f t="shared" si="1"/>
        <v>19189</v>
      </c>
      <c r="G42" s="308"/>
    </row>
    <row r="43" spans="1:7" ht="25.5">
      <c r="A43" s="305" t="s">
        <v>71</v>
      </c>
      <c r="B43" s="467" t="s">
        <v>1135</v>
      </c>
      <c r="C43" s="311" t="s">
        <v>11</v>
      </c>
      <c r="D43" s="496">
        <v>1</v>
      </c>
      <c r="E43" s="306">
        <f>Análisis!F769</f>
        <v>8802.01</v>
      </c>
      <c r="F43" s="307">
        <f t="shared" si="1"/>
        <v>8802.01</v>
      </c>
      <c r="G43" s="308"/>
    </row>
    <row r="44" spans="1:7">
      <c r="A44" s="305" t="s">
        <v>72</v>
      </c>
      <c r="B44" s="467" t="s">
        <v>36</v>
      </c>
      <c r="C44" s="311" t="s">
        <v>11</v>
      </c>
      <c r="D44" s="496">
        <v>1</v>
      </c>
      <c r="E44" s="306">
        <f>Análisis!F809</f>
        <v>28381.77</v>
      </c>
      <c r="F44" s="307">
        <f t="shared" si="1"/>
        <v>28381.77</v>
      </c>
      <c r="G44" s="308"/>
    </row>
    <row r="45" spans="1:7" ht="25.5">
      <c r="A45" s="305" t="s">
        <v>73</v>
      </c>
      <c r="B45" s="467" t="s">
        <v>1161</v>
      </c>
      <c r="C45" s="311" t="s">
        <v>3</v>
      </c>
      <c r="D45" s="496">
        <v>1</v>
      </c>
      <c r="E45" s="306">
        <f>Análisis!F849</f>
        <v>21222.27</v>
      </c>
      <c r="F45" s="307">
        <f t="shared" si="1"/>
        <v>21222.27</v>
      </c>
      <c r="G45" s="308"/>
    </row>
    <row r="46" spans="1:7" ht="25.5">
      <c r="A46" s="305" t="s">
        <v>74</v>
      </c>
      <c r="B46" s="467" t="s">
        <v>45</v>
      </c>
      <c r="C46" s="311" t="s">
        <v>3</v>
      </c>
      <c r="D46" s="496">
        <v>2</v>
      </c>
      <c r="E46" s="306">
        <f>Análisis!F889</f>
        <v>12234.98</v>
      </c>
      <c r="F46" s="307">
        <f t="shared" si="1"/>
        <v>24469.96</v>
      </c>
      <c r="G46" s="308"/>
    </row>
    <row r="47" spans="1:7">
      <c r="A47" s="305" t="s">
        <v>75</v>
      </c>
      <c r="B47" s="467" t="s">
        <v>1043</v>
      </c>
      <c r="C47" s="311" t="s">
        <v>11</v>
      </c>
      <c r="D47" s="496">
        <v>1</v>
      </c>
      <c r="E47" s="306">
        <f>Análisis!F929</f>
        <v>6001.3</v>
      </c>
      <c r="F47" s="307">
        <f t="shared" si="1"/>
        <v>6001.3</v>
      </c>
      <c r="G47" s="308"/>
    </row>
    <row r="48" spans="1:7" ht="25.5">
      <c r="A48" s="305" t="s">
        <v>76</v>
      </c>
      <c r="B48" s="467" t="s">
        <v>46</v>
      </c>
      <c r="C48" s="311" t="s">
        <v>11</v>
      </c>
      <c r="D48" s="496">
        <v>1</v>
      </c>
      <c r="E48" s="306">
        <f>Análisis!F969</f>
        <v>11573.35</v>
      </c>
      <c r="F48" s="307">
        <f t="shared" si="1"/>
        <v>11573.35</v>
      </c>
      <c r="G48" s="308"/>
    </row>
    <row r="49" spans="1:7">
      <c r="A49" s="459" t="s">
        <v>66</v>
      </c>
      <c r="B49" s="302" t="s">
        <v>1062</v>
      </c>
      <c r="G49" s="304">
        <f>SUM(F50:F58)</f>
        <v>418327.87000000005</v>
      </c>
    </row>
    <row r="50" spans="1:7" ht="25.5">
      <c r="A50" s="305" t="s">
        <v>77</v>
      </c>
      <c r="B50" s="467" t="s">
        <v>1064</v>
      </c>
      <c r="C50" s="311" t="s">
        <v>11</v>
      </c>
      <c r="D50" s="496">
        <v>1</v>
      </c>
      <c r="E50" s="306">
        <f>Análisis!F1009</f>
        <v>14123.55</v>
      </c>
      <c r="F50" s="307">
        <f t="shared" ref="F50:F73" si="2">ROUND(D50*E50, 2)</f>
        <v>14123.55</v>
      </c>
    </row>
    <row r="51" spans="1:7">
      <c r="A51" s="305" t="s">
        <v>78</v>
      </c>
      <c r="B51" s="467" t="s">
        <v>38</v>
      </c>
      <c r="C51" s="311" t="s">
        <v>4</v>
      </c>
      <c r="D51" s="496">
        <v>50</v>
      </c>
      <c r="E51" s="306">
        <f>Análisis!F1049</f>
        <v>123.12</v>
      </c>
      <c r="F51" s="307">
        <f t="shared" si="2"/>
        <v>6156</v>
      </c>
      <c r="G51" s="308"/>
    </row>
    <row r="52" spans="1:7" ht="25.5">
      <c r="A52" s="305" t="s">
        <v>79</v>
      </c>
      <c r="B52" s="467" t="s">
        <v>1069</v>
      </c>
      <c r="C52" s="311" t="s">
        <v>5</v>
      </c>
      <c r="D52" s="496">
        <v>4.74925</v>
      </c>
      <c r="E52" s="306">
        <f>Análisis!F1089</f>
        <v>1815.7</v>
      </c>
      <c r="F52" s="307">
        <f t="shared" si="2"/>
        <v>8623.2099999999991</v>
      </c>
      <c r="G52" s="308"/>
    </row>
    <row r="53" spans="1:7" ht="25.5">
      <c r="A53" s="305" t="s">
        <v>80</v>
      </c>
      <c r="B53" s="201" t="s">
        <v>1086</v>
      </c>
      <c r="C53" s="311" t="s">
        <v>5</v>
      </c>
      <c r="D53" s="496">
        <v>50</v>
      </c>
      <c r="E53" s="306">
        <f>Análisis!F1129</f>
        <v>4982.88</v>
      </c>
      <c r="F53" s="307">
        <f t="shared" si="2"/>
        <v>249144</v>
      </c>
      <c r="G53" s="308"/>
    </row>
    <row r="54" spans="1:7">
      <c r="A54" s="305" t="s">
        <v>81</v>
      </c>
      <c r="B54" s="467" t="s">
        <v>39</v>
      </c>
      <c r="C54" s="311" t="s">
        <v>6</v>
      </c>
      <c r="D54" s="496">
        <v>282.44200000000001</v>
      </c>
      <c r="E54" s="306">
        <f>Análisis!F1169</f>
        <v>144.13999999999999</v>
      </c>
      <c r="F54" s="307">
        <f t="shared" si="2"/>
        <v>40711.19</v>
      </c>
      <c r="G54" s="308"/>
    </row>
    <row r="55" spans="1:7" ht="25.5">
      <c r="A55" s="305" t="s">
        <v>82</v>
      </c>
      <c r="B55" s="467" t="s">
        <v>1136</v>
      </c>
      <c r="C55" s="311" t="s">
        <v>6</v>
      </c>
      <c r="D55" s="496">
        <v>75.830999999999989</v>
      </c>
      <c r="E55" s="306">
        <f>Análisis!F1209</f>
        <v>117.42</v>
      </c>
      <c r="F55" s="307">
        <f t="shared" si="2"/>
        <v>8904.08</v>
      </c>
      <c r="G55" s="308"/>
    </row>
    <row r="56" spans="1:7" ht="25.5">
      <c r="A56" s="305" t="s">
        <v>83</v>
      </c>
      <c r="B56" s="467" t="s">
        <v>1085</v>
      </c>
      <c r="C56" s="311" t="s">
        <v>6</v>
      </c>
      <c r="D56" s="496">
        <v>78.5</v>
      </c>
      <c r="E56" s="306">
        <f>Análisis!F1249</f>
        <v>100.2</v>
      </c>
      <c r="F56" s="307">
        <f t="shared" si="2"/>
        <v>7865.7</v>
      </c>
      <c r="G56" s="308"/>
    </row>
    <row r="57" spans="1:7" ht="25.5">
      <c r="A57" s="305" t="s">
        <v>84</v>
      </c>
      <c r="B57" s="467" t="s">
        <v>40</v>
      </c>
      <c r="C57" s="311" t="s">
        <v>11</v>
      </c>
      <c r="D57" s="496">
        <v>1</v>
      </c>
      <c r="E57" s="306">
        <f>Análisis!F1289</f>
        <v>15450.52</v>
      </c>
      <c r="F57" s="307">
        <f t="shared" si="2"/>
        <v>15450.52</v>
      </c>
      <c r="G57" s="308"/>
    </row>
    <row r="58" spans="1:7" ht="76.5">
      <c r="A58" s="305" t="s">
        <v>85</v>
      </c>
      <c r="B58" s="201" t="s">
        <v>1137</v>
      </c>
      <c r="C58" s="311" t="s">
        <v>11</v>
      </c>
      <c r="D58" s="496">
        <v>1</v>
      </c>
      <c r="E58" s="306">
        <f>Análisis!F1329</f>
        <v>67349.62</v>
      </c>
      <c r="F58" s="307">
        <f t="shared" si="2"/>
        <v>67349.62</v>
      </c>
      <c r="G58" s="308"/>
    </row>
    <row r="59" spans="1:7">
      <c r="A59" s="459" t="s">
        <v>67</v>
      </c>
      <c r="B59" s="302" t="s">
        <v>1063</v>
      </c>
      <c r="G59" s="304">
        <f>SUM(F60:F68)</f>
        <v>2391858.4200000004</v>
      </c>
    </row>
    <row r="60" spans="1:7" ht="25.5">
      <c r="A60" s="305" t="s">
        <v>86</v>
      </c>
      <c r="B60" s="467" t="s">
        <v>1064</v>
      </c>
      <c r="C60" s="311" t="s">
        <v>11</v>
      </c>
      <c r="D60" s="496">
        <v>1</v>
      </c>
      <c r="E60" s="306">
        <f>Análisis!F1369</f>
        <v>38966.39</v>
      </c>
      <c r="F60" s="307">
        <f t="shared" si="2"/>
        <v>38966.39</v>
      </c>
    </row>
    <row r="61" spans="1:7">
      <c r="A61" s="305" t="s">
        <v>87</v>
      </c>
      <c r="B61" s="467" t="s">
        <v>38</v>
      </c>
      <c r="C61" s="311" t="s">
        <v>4</v>
      </c>
      <c r="D61" s="496">
        <v>315</v>
      </c>
      <c r="E61" s="306">
        <f>Análisis!F1409</f>
        <v>123.12</v>
      </c>
      <c r="F61" s="307">
        <f t="shared" si="2"/>
        <v>38782.800000000003</v>
      </c>
      <c r="G61" s="308"/>
    </row>
    <row r="62" spans="1:7" ht="25.5">
      <c r="A62" s="305" t="s">
        <v>88</v>
      </c>
      <c r="B62" s="467" t="s">
        <v>1069</v>
      </c>
      <c r="C62" s="311" t="s">
        <v>5</v>
      </c>
      <c r="D62" s="496">
        <v>33.862500000000004</v>
      </c>
      <c r="E62" s="306">
        <f>Análisis!F1449</f>
        <v>1815.7</v>
      </c>
      <c r="F62" s="307">
        <f t="shared" si="2"/>
        <v>61484.14</v>
      </c>
      <c r="G62" s="308"/>
    </row>
    <row r="63" spans="1:7" ht="25.5">
      <c r="A63" s="305" t="s">
        <v>89</v>
      </c>
      <c r="B63" s="201" t="s">
        <v>1086</v>
      </c>
      <c r="C63" s="311" t="s">
        <v>5</v>
      </c>
      <c r="D63" s="496">
        <v>346</v>
      </c>
      <c r="E63" s="306">
        <f>Análisis!F1489</f>
        <v>4982.88</v>
      </c>
      <c r="F63" s="307">
        <f t="shared" si="2"/>
        <v>1724076.48</v>
      </c>
      <c r="G63" s="308"/>
    </row>
    <row r="64" spans="1:7">
      <c r="A64" s="305" t="s">
        <v>90</v>
      </c>
      <c r="B64" s="467" t="s">
        <v>39</v>
      </c>
      <c r="C64" s="311" t="s">
        <v>6</v>
      </c>
      <c r="D64" s="496">
        <v>1982</v>
      </c>
      <c r="E64" s="306">
        <f>Análisis!F1529</f>
        <v>144.13999999999999</v>
      </c>
      <c r="F64" s="307">
        <f t="shared" si="2"/>
        <v>285685.48</v>
      </c>
      <c r="G64" s="308"/>
    </row>
    <row r="65" spans="1:8" ht="25.5">
      <c r="A65" s="305" t="s">
        <v>91</v>
      </c>
      <c r="B65" s="467" t="s">
        <v>1136</v>
      </c>
      <c r="C65" s="311" t="s">
        <v>6</v>
      </c>
      <c r="D65" s="496">
        <v>229.99999999999997</v>
      </c>
      <c r="E65" s="306">
        <f>Análisis!F1569</f>
        <v>117.42</v>
      </c>
      <c r="F65" s="307">
        <f t="shared" si="2"/>
        <v>27006.6</v>
      </c>
      <c r="G65" s="308"/>
    </row>
    <row r="66" spans="1:8" ht="25.5">
      <c r="A66" s="305" t="s">
        <v>92</v>
      </c>
      <c r="B66" s="467" t="s">
        <v>1085</v>
      </c>
      <c r="C66" s="311" t="s">
        <v>6</v>
      </c>
      <c r="D66" s="496">
        <v>600</v>
      </c>
      <c r="E66" s="306">
        <f>Análisis!F1609</f>
        <v>100.2</v>
      </c>
      <c r="F66" s="307">
        <f t="shared" si="2"/>
        <v>60120</v>
      </c>
      <c r="G66" s="308"/>
    </row>
    <row r="67" spans="1:8" ht="25.5">
      <c r="A67" s="305" t="s">
        <v>93</v>
      </c>
      <c r="B67" s="467" t="s">
        <v>40</v>
      </c>
      <c r="C67" s="311" t="s">
        <v>11</v>
      </c>
      <c r="D67" s="496">
        <v>1</v>
      </c>
      <c r="E67" s="306">
        <f>Análisis!F1649</f>
        <v>37167.949999999997</v>
      </c>
      <c r="F67" s="307">
        <f t="shared" si="2"/>
        <v>37167.949999999997</v>
      </c>
      <c r="G67" s="308"/>
    </row>
    <row r="68" spans="1:8" ht="76.5">
      <c r="A68" s="305" t="s">
        <v>94</v>
      </c>
      <c r="B68" s="201" t="s">
        <v>1137</v>
      </c>
      <c r="C68" s="311" t="s">
        <v>11</v>
      </c>
      <c r="D68" s="496">
        <v>1</v>
      </c>
      <c r="E68" s="306">
        <f>Análisis!F1689</f>
        <v>118568.58</v>
      </c>
      <c r="F68" s="307">
        <f t="shared" si="2"/>
        <v>118568.58</v>
      </c>
      <c r="G68" s="308"/>
    </row>
    <row r="69" spans="1:8">
      <c r="A69" s="459" t="s">
        <v>68</v>
      </c>
      <c r="B69" s="302" t="s">
        <v>37</v>
      </c>
      <c r="G69" s="304">
        <f>SUM(F70:F73)</f>
        <v>390111.84</v>
      </c>
    </row>
    <row r="70" spans="1:8" ht="25.5">
      <c r="A70" s="305" t="s">
        <v>95</v>
      </c>
      <c r="B70" s="467" t="s">
        <v>1094</v>
      </c>
      <c r="C70" s="311" t="s">
        <v>4</v>
      </c>
      <c r="D70" s="496">
        <v>80</v>
      </c>
      <c r="E70" s="306">
        <f>Análisis!F1729</f>
        <v>930.84</v>
      </c>
      <c r="F70" s="307">
        <f t="shared" si="2"/>
        <v>74467.199999999997</v>
      </c>
      <c r="G70" s="308"/>
    </row>
    <row r="71" spans="1:8" ht="38.25">
      <c r="A71" s="305" t="s">
        <v>96</v>
      </c>
      <c r="B71" s="201" t="s">
        <v>35</v>
      </c>
      <c r="C71" s="311" t="s">
        <v>4</v>
      </c>
      <c r="D71" s="496">
        <f>20*2+30*2</f>
        <v>100</v>
      </c>
      <c r="E71" s="306">
        <f>Análisis!F1769</f>
        <v>930.84</v>
      </c>
      <c r="F71" s="307">
        <f t="shared" si="2"/>
        <v>93084</v>
      </c>
      <c r="G71" s="308"/>
    </row>
    <row r="72" spans="1:8" ht="25.5">
      <c r="A72" s="305" t="s">
        <v>97</v>
      </c>
      <c r="B72" s="201" t="s">
        <v>34</v>
      </c>
      <c r="C72" s="311" t="s">
        <v>4</v>
      </c>
      <c r="D72" s="496">
        <f>50*4</f>
        <v>200</v>
      </c>
      <c r="E72" s="306">
        <f>Análisis!F1809</f>
        <v>930.84</v>
      </c>
      <c r="F72" s="307">
        <f t="shared" si="2"/>
        <v>186168</v>
      </c>
      <c r="G72" s="308"/>
    </row>
    <row r="73" spans="1:8">
      <c r="A73" s="305" t="s">
        <v>98</v>
      </c>
      <c r="B73" s="201" t="s">
        <v>1138</v>
      </c>
      <c r="C73" s="311" t="s">
        <v>3</v>
      </c>
      <c r="D73" s="496">
        <v>4</v>
      </c>
      <c r="E73" s="306">
        <f>Análisis!F1849</f>
        <v>9098.16</v>
      </c>
      <c r="F73" s="307">
        <f t="shared" si="2"/>
        <v>36392.639999999999</v>
      </c>
      <c r="G73" s="308"/>
    </row>
    <row r="74" spans="1:8" ht="22.5" customHeight="1">
      <c r="A74" s="458">
        <v>2</v>
      </c>
      <c r="B74" s="217" t="s">
        <v>1139</v>
      </c>
      <c r="C74" s="380"/>
      <c r="D74" s="494"/>
      <c r="E74" s="218"/>
      <c r="F74" s="378"/>
      <c r="G74" s="219"/>
      <c r="H74" s="428">
        <f>SUM(G75:G87)</f>
        <v>6899660.4200000009</v>
      </c>
    </row>
    <row r="75" spans="1:8">
      <c r="A75" s="459" t="s">
        <v>7</v>
      </c>
      <c r="B75" s="302" t="s">
        <v>61</v>
      </c>
      <c r="G75" s="304">
        <f>SUM(F76:F78)</f>
        <v>2139021.17</v>
      </c>
    </row>
    <row r="76" spans="1:8" ht="25.5">
      <c r="A76" s="305" t="s">
        <v>28</v>
      </c>
      <c r="B76" s="468" t="s">
        <v>1140</v>
      </c>
      <c r="C76" s="324" t="s">
        <v>53</v>
      </c>
      <c r="D76" s="497">
        <v>7925.7600000000011</v>
      </c>
      <c r="E76" s="306">
        <f>Análisis!F1889</f>
        <v>161.12</v>
      </c>
      <c r="F76" s="307">
        <f t="shared" ref="F76:F90" si="3">ROUND(D76*E76, 2)</f>
        <v>1276998.45</v>
      </c>
      <c r="G76" s="308"/>
    </row>
    <row r="77" spans="1:8" ht="25.5">
      <c r="A77" s="305" t="s">
        <v>29</v>
      </c>
      <c r="B77" s="469" t="s">
        <v>1141</v>
      </c>
      <c r="C77" s="381" t="s">
        <v>4</v>
      </c>
      <c r="D77" s="497">
        <v>1040</v>
      </c>
      <c r="E77" s="306">
        <f>Análisis!F1929</f>
        <v>177.14</v>
      </c>
      <c r="F77" s="307">
        <f t="shared" si="3"/>
        <v>184225.6</v>
      </c>
      <c r="G77" s="308"/>
    </row>
    <row r="78" spans="1:8" ht="25.5">
      <c r="A78" s="305" t="s">
        <v>30</v>
      </c>
      <c r="B78" s="469" t="s">
        <v>1142</v>
      </c>
      <c r="C78" s="381" t="s">
        <v>4</v>
      </c>
      <c r="D78" s="497">
        <v>5152</v>
      </c>
      <c r="E78" s="306">
        <f>Análisis!F1969</f>
        <v>131.56</v>
      </c>
      <c r="F78" s="307">
        <f t="shared" si="3"/>
        <v>677797.12</v>
      </c>
      <c r="G78" s="308"/>
    </row>
    <row r="79" spans="1:8">
      <c r="A79" s="459" t="s">
        <v>8</v>
      </c>
      <c r="B79" s="302" t="s">
        <v>60</v>
      </c>
      <c r="G79" s="304">
        <f>SUM(F80:F82)</f>
        <v>539649.19999999995</v>
      </c>
    </row>
    <row r="80" spans="1:8" ht="25.5">
      <c r="A80" s="313" t="s">
        <v>31</v>
      </c>
      <c r="B80" s="469" t="s">
        <v>1143</v>
      </c>
      <c r="C80" s="381" t="s">
        <v>3</v>
      </c>
      <c r="D80" s="497">
        <v>44</v>
      </c>
      <c r="E80" s="306">
        <f>Análisis!F2009</f>
        <v>9296.02</v>
      </c>
      <c r="F80" s="307">
        <f t="shared" si="3"/>
        <v>409024.88</v>
      </c>
      <c r="G80" s="308"/>
    </row>
    <row r="81" spans="1:8" ht="25.5">
      <c r="A81" s="305" t="s">
        <v>32</v>
      </c>
      <c r="B81" s="469" t="s">
        <v>1111</v>
      </c>
      <c r="C81" s="381" t="s">
        <v>3</v>
      </c>
      <c r="D81" s="497">
        <v>1</v>
      </c>
      <c r="E81" s="306">
        <f>Análisis!F2049</f>
        <v>12037.62</v>
      </c>
      <c r="F81" s="307">
        <f t="shared" si="3"/>
        <v>12037.62</v>
      </c>
      <c r="G81" s="308"/>
    </row>
    <row r="82" spans="1:8" ht="38.25">
      <c r="A82" s="313" t="s">
        <v>33</v>
      </c>
      <c r="B82" s="469" t="s">
        <v>1110</v>
      </c>
      <c r="C82" s="381" t="s">
        <v>3</v>
      </c>
      <c r="D82" s="497">
        <v>45</v>
      </c>
      <c r="E82" s="306">
        <f>Análisis!F2089</f>
        <v>2635.26</v>
      </c>
      <c r="F82" s="307">
        <f t="shared" si="3"/>
        <v>118586.7</v>
      </c>
      <c r="G82" s="308"/>
    </row>
    <row r="83" spans="1:8">
      <c r="A83" s="459" t="s">
        <v>109</v>
      </c>
      <c r="B83" s="302" t="s">
        <v>27</v>
      </c>
      <c r="G83" s="304">
        <f>SUM(F84:F86)</f>
        <v>3871284.27</v>
      </c>
    </row>
    <row r="84" spans="1:8" ht="25.5">
      <c r="A84" s="305" t="s">
        <v>111</v>
      </c>
      <c r="B84" s="468" t="s">
        <v>1140</v>
      </c>
      <c r="C84" s="324" t="s">
        <v>53</v>
      </c>
      <c r="D84" s="497">
        <v>5729.2800000000007</v>
      </c>
      <c r="E84" s="306">
        <f>Análisis!F2129</f>
        <v>161.12</v>
      </c>
      <c r="F84" s="307">
        <f t="shared" si="3"/>
        <v>923101.59</v>
      </c>
      <c r="G84" s="308"/>
    </row>
    <row r="85" spans="1:8" ht="38.25">
      <c r="A85" s="305" t="s">
        <v>112</v>
      </c>
      <c r="B85" s="469" t="s">
        <v>1144</v>
      </c>
      <c r="C85" s="324" t="s">
        <v>4</v>
      </c>
      <c r="D85" s="497">
        <v>3328</v>
      </c>
      <c r="E85" s="412">
        <f>Análisis!F2169</f>
        <v>701.83</v>
      </c>
      <c r="F85" s="307">
        <f t="shared" si="3"/>
        <v>2335690.2400000002</v>
      </c>
      <c r="G85" s="308"/>
    </row>
    <row r="86" spans="1:8" ht="38.25">
      <c r="A86" s="305" t="s">
        <v>113</v>
      </c>
      <c r="B86" s="469" t="s">
        <v>1145</v>
      </c>
      <c r="C86" s="324" t="s">
        <v>4</v>
      </c>
      <c r="D86" s="497">
        <v>1148</v>
      </c>
      <c r="E86" s="412">
        <f>Análisis!F2209</f>
        <v>533.53</v>
      </c>
      <c r="F86" s="307">
        <f t="shared" si="3"/>
        <v>612492.43999999994</v>
      </c>
      <c r="G86" s="308"/>
    </row>
    <row r="87" spans="1:8">
      <c r="A87" s="459" t="s">
        <v>110</v>
      </c>
      <c r="B87" s="302" t="s">
        <v>60</v>
      </c>
      <c r="G87" s="304">
        <f>SUM(F88:F90)</f>
        <v>349705.78</v>
      </c>
    </row>
    <row r="88" spans="1:8" ht="38.25">
      <c r="A88" s="305" t="s">
        <v>114</v>
      </c>
      <c r="B88" s="469" t="s">
        <v>1112</v>
      </c>
      <c r="C88" s="324" t="s">
        <v>3</v>
      </c>
      <c r="D88" s="497">
        <v>19</v>
      </c>
      <c r="E88" s="306">
        <f>Análisis!F2249</f>
        <v>9296.02</v>
      </c>
      <c r="F88" s="307">
        <f t="shared" si="3"/>
        <v>176624.38</v>
      </c>
      <c r="G88" s="308"/>
    </row>
    <row r="89" spans="1:8" ht="25.5">
      <c r="A89" s="305" t="s">
        <v>115</v>
      </c>
      <c r="B89" s="469" t="s">
        <v>1111</v>
      </c>
      <c r="C89" s="324" t="s">
        <v>3</v>
      </c>
      <c r="D89" s="497">
        <v>10</v>
      </c>
      <c r="E89" s="306">
        <f>Análisis!F2289</f>
        <v>12037.62</v>
      </c>
      <c r="F89" s="307">
        <f t="shared" si="3"/>
        <v>120376.2</v>
      </c>
      <c r="G89" s="308"/>
    </row>
    <row r="90" spans="1:8" ht="38.25">
      <c r="A90" s="305" t="s">
        <v>116</v>
      </c>
      <c r="B90" s="469" t="s">
        <v>1110</v>
      </c>
      <c r="C90" s="324" t="s">
        <v>3</v>
      </c>
      <c r="D90" s="497">
        <v>20</v>
      </c>
      <c r="E90" s="306">
        <f>Análisis!F2329</f>
        <v>2635.26</v>
      </c>
      <c r="F90" s="307">
        <f t="shared" si="3"/>
        <v>52705.2</v>
      </c>
      <c r="G90" s="308"/>
    </row>
    <row r="91" spans="1:8" ht="22.5" customHeight="1">
      <c r="A91" s="458">
        <v>3</v>
      </c>
      <c r="B91" s="217" t="s">
        <v>56</v>
      </c>
      <c r="C91" s="380"/>
      <c r="D91" s="494"/>
      <c r="E91" s="218"/>
      <c r="F91" s="378"/>
      <c r="G91" s="219"/>
      <c r="H91" s="428">
        <f>SUM(G92:G95)</f>
        <v>8173595.4800000004</v>
      </c>
    </row>
    <row r="92" spans="1:8">
      <c r="A92" s="459" t="s">
        <v>117</v>
      </c>
      <c r="B92" s="302" t="s">
        <v>1223</v>
      </c>
      <c r="G92" s="304">
        <f>SUM(F93:F94)</f>
        <v>3026837</v>
      </c>
    </row>
    <row r="93" spans="1:8">
      <c r="A93" s="305" t="s">
        <v>118</v>
      </c>
      <c r="B93" s="201" t="s">
        <v>1190</v>
      </c>
      <c r="C93" s="324" t="s">
        <v>53</v>
      </c>
      <c r="D93" s="498">
        <v>24900</v>
      </c>
      <c r="E93" s="306">
        <f>Análisis!F2369</f>
        <v>76.19</v>
      </c>
      <c r="F93" s="307">
        <f t="shared" ref="F93:F96" si="4">ROUND(D93*E93, 2)</f>
        <v>1897131</v>
      </c>
      <c r="G93" s="314"/>
    </row>
    <row r="94" spans="1:8">
      <c r="A94" s="305" t="s">
        <v>119</v>
      </c>
      <c r="B94" s="201" t="s">
        <v>108</v>
      </c>
      <c r="C94" s="324" t="s">
        <v>53</v>
      </c>
      <c r="D94" s="498">
        <v>10700</v>
      </c>
      <c r="E94" s="306">
        <f>Análisis!F2409</f>
        <v>105.58</v>
      </c>
      <c r="F94" s="307">
        <f t="shared" si="4"/>
        <v>1129706</v>
      </c>
      <c r="G94" s="315"/>
    </row>
    <row r="95" spans="1:8">
      <c r="A95" s="459" t="s">
        <v>120</v>
      </c>
      <c r="B95" s="302" t="s">
        <v>1224</v>
      </c>
      <c r="G95" s="304">
        <f>F96</f>
        <v>5146758.4800000004</v>
      </c>
    </row>
    <row r="96" spans="1:8">
      <c r="A96" s="313" t="s">
        <v>121</v>
      </c>
      <c r="B96" s="312" t="s">
        <v>1146</v>
      </c>
      <c r="C96" s="381" t="s">
        <v>55</v>
      </c>
      <c r="D96" s="499">
        <v>118072</v>
      </c>
      <c r="E96" s="412">
        <f>Análisis!F2449</f>
        <v>43.59</v>
      </c>
      <c r="F96" s="463">
        <f t="shared" si="4"/>
        <v>5146758.4800000004</v>
      </c>
      <c r="G96" s="315"/>
    </row>
    <row r="97" spans="1:8" ht="22.5" customHeight="1">
      <c r="A97" s="458">
        <v>4</v>
      </c>
      <c r="B97" s="217" t="s">
        <v>62</v>
      </c>
      <c r="C97" s="380"/>
      <c r="D97" s="494"/>
      <c r="E97" s="218"/>
      <c r="F97" s="378"/>
      <c r="G97" s="219"/>
      <c r="H97" s="428">
        <f>SUM(G98:G100)</f>
        <v>2440179.2999999998</v>
      </c>
    </row>
    <row r="98" spans="1:8">
      <c r="A98" s="459" t="s">
        <v>122</v>
      </c>
      <c r="B98" s="302" t="s">
        <v>1225</v>
      </c>
      <c r="G98" s="304">
        <f>F99</f>
        <v>687225</v>
      </c>
    </row>
    <row r="99" spans="1:8" ht="25.5">
      <c r="A99" s="305" t="s">
        <v>123</v>
      </c>
      <c r="B99" s="201" t="s">
        <v>1147</v>
      </c>
      <c r="C99" s="324" t="s">
        <v>4</v>
      </c>
      <c r="D99" s="385">
        <v>2550</v>
      </c>
      <c r="E99" s="306">
        <f>Análisis!F2489</f>
        <v>269.5</v>
      </c>
      <c r="F99" s="307">
        <f t="shared" ref="F99:F102" si="5">ROUND(D99*E99, 2)</f>
        <v>687225</v>
      </c>
      <c r="G99" s="316"/>
    </row>
    <row r="100" spans="1:8">
      <c r="A100" s="459" t="s">
        <v>124</v>
      </c>
      <c r="B100" s="302" t="s">
        <v>1226</v>
      </c>
      <c r="G100" s="304">
        <f>SUM(F101:F102)</f>
        <v>1752954.3</v>
      </c>
    </row>
    <row r="101" spans="1:8" ht="25.5">
      <c r="A101" s="313" t="s">
        <v>125</v>
      </c>
      <c r="B101" s="467" t="s">
        <v>100</v>
      </c>
      <c r="C101" s="381" t="s">
        <v>4</v>
      </c>
      <c r="D101" s="495">
        <f>+D99*3</f>
        <v>7650</v>
      </c>
      <c r="E101" s="462">
        <f>Análisis!F2529</f>
        <v>165.47</v>
      </c>
      <c r="F101" s="463">
        <f t="shared" si="5"/>
        <v>1265845.5</v>
      </c>
      <c r="G101" s="316"/>
    </row>
    <row r="102" spans="1:8" ht="25.5">
      <c r="A102" s="313" t="s">
        <v>126</v>
      </c>
      <c r="B102" s="467" t="s">
        <v>63</v>
      </c>
      <c r="C102" s="381" t="s">
        <v>4</v>
      </c>
      <c r="D102" s="495">
        <f>720*2</f>
        <v>1440</v>
      </c>
      <c r="E102" s="462">
        <f>Análisis!F2569</f>
        <v>338.27</v>
      </c>
      <c r="F102" s="463">
        <f t="shared" si="5"/>
        <v>487108.8</v>
      </c>
      <c r="G102" s="316"/>
    </row>
    <row r="103" spans="1:8">
      <c r="A103" s="460"/>
      <c r="E103" s="141"/>
      <c r="F103" s="379"/>
    </row>
    <row r="104" spans="1:8" ht="22.5" customHeight="1">
      <c r="A104" s="458">
        <v>5</v>
      </c>
      <c r="B104" s="217" t="s">
        <v>57</v>
      </c>
      <c r="C104" s="380"/>
      <c r="D104" s="494"/>
      <c r="E104" s="218"/>
      <c r="F104" s="378"/>
      <c r="G104" s="219"/>
      <c r="H104" s="428">
        <f>G105</f>
        <v>1112819</v>
      </c>
    </row>
    <row r="105" spans="1:8">
      <c r="A105" s="459" t="s">
        <v>127</v>
      </c>
      <c r="B105" s="302" t="s">
        <v>1227</v>
      </c>
      <c r="G105" s="304">
        <f>F106</f>
        <v>1112819</v>
      </c>
    </row>
    <row r="106" spans="1:8" ht="38.25">
      <c r="A106" s="305" t="s">
        <v>128</v>
      </c>
      <c r="B106" s="201" t="s">
        <v>1242</v>
      </c>
      <c r="C106" s="324" t="s">
        <v>3</v>
      </c>
      <c r="D106" s="385">
        <v>2</v>
      </c>
      <c r="E106" s="412">
        <f>Análisis!F2609</f>
        <v>556409.5</v>
      </c>
      <c r="F106" s="307">
        <f t="shared" ref="F106" si="6">ROUND(D106*E106, 2)</f>
        <v>1112819</v>
      </c>
      <c r="G106" s="316"/>
    </row>
    <row r="107" spans="1:8">
      <c r="A107" s="318"/>
      <c r="F107" s="322"/>
      <c r="G107" s="317"/>
    </row>
    <row r="108" spans="1:8" ht="22.5" customHeight="1">
      <c r="A108" s="458">
        <v>6</v>
      </c>
      <c r="B108" s="217" t="s">
        <v>58</v>
      </c>
      <c r="C108" s="380"/>
      <c r="D108" s="494"/>
      <c r="E108" s="218"/>
      <c r="F108" s="378"/>
      <c r="G108" s="219"/>
      <c r="H108" s="428">
        <f>SUM(G109:G119)</f>
        <v>4799709.51</v>
      </c>
    </row>
    <row r="109" spans="1:8">
      <c r="A109" s="459" t="s">
        <v>129</v>
      </c>
      <c r="B109" s="302" t="s">
        <v>1228</v>
      </c>
      <c r="G109" s="304">
        <f>SUM(F110:F113)</f>
        <v>2992751.3099999996</v>
      </c>
    </row>
    <row r="110" spans="1:8" ht="51">
      <c r="A110" s="305" t="s">
        <v>132</v>
      </c>
      <c r="B110" s="201" t="s">
        <v>101</v>
      </c>
      <c r="C110" s="324" t="s">
        <v>9</v>
      </c>
      <c r="D110" s="385">
        <v>148</v>
      </c>
      <c r="E110" s="412">
        <f>Análisis!F2649</f>
        <v>9242.7000000000007</v>
      </c>
      <c r="F110" s="307">
        <f t="shared" ref="F110:F120" si="7">ROUND(D110*E110, 2)</f>
        <v>1367919.6</v>
      </c>
      <c r="G110" s="319"/>
    </row>
    <row r="111" spans="1:8" ht="51">
      <c r="A111" s="305" t="s">
        <v>133</v>
      </c>
      <c r="B111" s="201" t="s">
        <v>102</v>
      </c>
      <c r="C111" s="324" t="s">
        <v>9</v>
      </c>
      <c r="D111" s="385">
        <v>90</v>
      </c>
      <c r="E111" s="412">
        <f>Análisis!F2689</f>
        <v>11265.63</v>
      </c>
      <c r="F111" s="307">
        <f t="shared" si="7"/>
        <v>1013906.7</v>
      </c>
      <c r="G111" s="319"/>
    </row>
    <row r="112" spans="1:8" ht="51">
      <c r="A112" s="305" t="s">
        <v>134</v>
      </c>
      <c r="B112" s="201" t="s">
        <v>103</v>
      </c>
      <c r="C112" s="324" t="s">
        <v>9</v>
      </c>
      <c r="D112" s="385">
        <v>33</v>
      </c>
      <c r="E112" s="412">
        <f>Análisis!F2729</f>
        <v>10331.969999999999</v>
      </c>
      <c r="F112" s="307">
        <f t="shared" si="7"/>
        <v>340955.01</v>
      </c>
      <c r="G112" s="319"/>
    </row>
    <row r="113" spans="1:12" ht="51">
      <c r="A113" s="305" t="s">
        <v>135</v>
      </c>
      <c r="B113" s="201" t="s">
        <v>104</v>
      </c>
      <c r="C113" s="324" t="s">
        <v>9</v>
      </c>
      <c r="D113" s="385">
        <v>25</v>
      </c>
      <c r="E113" s="412">
        <f>Análisis!F2769</f>
        <v>10798.8</v>
      </c>
      <c r="F113" s="307">
        <f t="shared" si="7"/>
        <v>269970</v>
      </c>
      <c r="G113" s="316"/>
    </row>
    <row r="114" spans="1:12">
      <c r="A114" s="459" t="s">
        <v>130</v>
      </c>
      <c r="B114" s="302" t="s">
        <v>1226</v>
      </c>
      <c r="G114" s="304">
        <f>SUM(F115:F118)</f>
        <v>1136703</v>
      </c>
    </row>
    <row r="115" spans="1:12" ht="38.25">
      <c r="A115" s="305" t="s">
        <v>136</v>
      </c>
      <c r="B115" s="201" t="s">
        <v>105</v>
      </c>
      <c r="C115" s="324" t="s">
        <v>4</v>
      </c>
      <c r="D115" s="385">
        <v>1250</v>
      </c>
      <c r="E115" s="412">
        <f>Análisis!F2809</f>
        <v>99.25</v>
      </c>
      <c r="F115" s="307">
        <f t="shared" si="7"/>
        <v>124062.5</v>
      </c>
      <c r="G115" s="319"/>
    </row>
    <row r="116" spans="1:12" ht="38.25">
      <c r="A116" s="305" t="s">
        <v>137</v>
      </c>
      <c r="B116" s="201" t="s">
        <v>106</v>
      </c>
      <c r="C116" s="324" t="s">
        <v>4</v>
      </c>
      <c r="D116" s="385">
        <v>4800</v>
      </c>
      <c r="E116" s="412">
        <f>Análisis!F2849</f>
        <v>105.07</v>
      </c>
      <c r="F116" s="307">
        <f t="shared" si="7"/>
        <v>504336</v>
      </c>
      <c r="G116" s="319"/>
    </row>
    <row r="117" spans="1:12" ht="38.25">
      <c r="A117" s="305" t="s">
        <v>138</v>
      </c>
      <c r="B117" s="201" t="s">
        <v>107</v>
      </c>
      <c r="C117" s="324" t="s">
        <v>4</v>
      </c>
      <c r="D117" s="385">
        <v>2000</v>
      </c>
      <c r="E117" s="412">
        <f>Análisis!F2889</f>
        <v>117.66</v>
      </c>
      <c r="F117" s="307">
        <f t="shared" si="7"/>
        <v>235320</v>
      </c>
      <c r="G117" s="316"/>
    </row>
    <row r="118" spans="1:12" ht="38.25">
      <c r="A118" s="305" t="s">
        <v>139</v>
      </c>
      <c r="B118" s="201" t="s">
        <v>1220</v>
      </c>
      <c r="C118" s="324" t="s">
        <v>4</v>
      </c>
      <c r="D118" s="385">
        <v>3950</v>
      </c>
      <c r="E118" s="412">
        <f>Análisis!F2929</f>
        <v>69.11</v>
      </c>
      <c r="F118" s="307">
        <f t="shared" si="7"/>
        <v>272984.5</v>
      </c>
      <c r="G118" s="316"/>
    </row>
    <row r="119" spans="1:12">
      <c r="A119" s="459" t="s">
        <v>131</v>
      </c>
      <c r="B119" s="302" t="s">
        <v>1229</v>
      </c>
      <c r="G119" s="304">
        <f>SUM(F120)</f>
        <v>670255.19999999995</v>
      </c>
    </row>
    <row r="120" spans="1:12" ht="25.5">
      <c r="A120" s="305" t="s">
        <v>140</v>
      </c>
      <c r="B120" s="201" t="s">
        <v>99</v>
      </c>
      <c r="C120" s="324" t="s">
        <v>9</v>
      </c>
      <c r="D120" s="385">
        <v>240</v>
      </c>
      <c r="E120" s="412">
        <f>Análisis!F2969</f>
        <v>2792.73</v>
      </c>
      <c r="F120" s="307">
        <f t="shared" si="7"/>
        <v>670255.19999999995</v>
      </c>
      <c r="G120" s="320"/>
    </row>
    <row r="121" spans="1:12" ht="9.9499999999999993" customHeight="1">
      <c r="A121" s="321"/>
      <c r="B121" s="4"/>
      <c r="C121" s="19"/>
      <c r="D121" s="379"/>
      <c r="E121" s="314"/>
      <c r="F121" s="322"/>
      <c r="G121" s="315"/>
    </row>
    <row r="122" spans="1:12" ht="22.5" customHeight="1">
      <c r="A122" s="216"/>
      <c r="B122" s="217"/>
      <c r="C122" s="380"/>
      <c r="D122" s="494"/>
      <c r="E122" s="218"/>
      <c r="F122" s="378"/>
      <c r="G122" s="454" t="s">
        <v>2</v>
      </c>
      <c r="H122" s="428">
        <f>+H18+H74+H91+H97+H104+H108</f>
        <v>31645699.490000002</v>
      </c>
      <c r="K122" s="451" t="s">
        <v>286</v>
      </c>
      <c r="L122" s="428">
        <v>27515015.739999998</v>
      </c>
    </row>
    <row r="123" spans="1:12">
      <c r="K123" s="451" t="s">
        <v>1236</v>
      </c>
      <c r="L123" s="452">
        <f>H122/L122</f>
        <v>1.1501247096869733</v>
      </c>
    </row>
    <row r="135" spans="3:5">
      <c r="C135" s="19"/>
      <c r="D135" s="379"/>
      <c r="E135" s="4"/>
    </row>
    <row r="136" spans="3:5">
      <c r="C136" s="19"/>
      <c r="D136" s="379"/>
      <c r="E136" s="323"/>
    </row>
    <row r="137" spans="3:5">
      <c r="C137" s="19"/>
      <c r="D137" s="379"/>
      <c r="E137" s="323"/>
    </row>
    <row r="138" spans="3:5">
      <c r="C138" s="19"/>
      <c r="D138" s="379"/>
      <c r="E138" s="323"/>
    </row>
    <row r="139" spans="3:5">
      <c r="C139" s="19"/>
      <c r="D139" s="379"/>
      <c r="E139" s="4"/>
    </row>
    <row r="140" spans="3:5">
      <c r="C140" s="20"/>
      <c r="D140" s="379"/>
      <c r="E140" s="323"/>
    </row>
    <row r="142" spans="3:5">
      <c r="E142" s="309"/>
    </row>
  </sheetData>
  <mergeCells count="5">
    <mergeCell ref="A15:H15"/>
    <mergeCell ref="A1:B1"/>
    <mergeCell ref="A2:B2"/>
    <mergeCell ref="A3:B3"/>
    <mergeCell ref="A4:B4"/>
  </mergeCells>
  <printOptions horizontalCentered="1"/>
  <pageMargins left="0.39370078740157483" right="0.19685039370078741" top="0.39370078740157483" bottom="0.98425196850393704" header="0" footer="0"/>
  <pageSetup paperSize="9" scale="90" orientation="portrait" r:id="rId1"/>
  <headerFooter alignWithMargins="0">
    <oddFooter xml:space="preserve">&amp;CJulián Antonelli
Ing. Civil M.P. 2161
Representante Técnico
&amp;RMarcelo A. Pasquini
Socio Gerente
Pasquini Construcciones SRL
</oddFooter>
  </headerFooter>
  <rowBreaks count="1" manualBreakCount="1">
    <brk id="113" max="7" man="1"/>
  </rowBreaks>
  <ignoredErrors>
    <ignoredError sqref="A19:A35 A40:A119 A3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Y54"/>
  <sheetViews>
    <sheetView view="pageBreakPreview" zoomScaleSheetLayoutView="100" workbookViewId="0">
      <selection activeCell="C15" sqref="C15"/>
    </sheetView>
  </sheetViews>
  <sheetFormatPr baseColWidth="10" defaultRowHeight="12.75"/>
  <cols>
    <col min="1" max="1" width="6.85546875" style="195" customWidth="1"/>
    <col min="2" max="2" width="34.85546875" style="195" customWidth="1"/>
    <col min="3" max="3" width="12.85546875" style="195" bestFit="1" customWidth="1"/>
    <col min="4" max="4" width="7.85546875" style="203" customWidth="1"/>
    <col min="5" max="23" width="12.7109375" style="195" customWidth="1"/>
    <col min="24" max="25" width="6.42578125" style="195" customWidth="1"/>
    <col min="26" max="16384" width="11.42578125" style="195"/>
  </cols>
  <sheetData>
    <row r="1" spans="1:25" ht="14.1" customHeight="1"/>
    <row r="2" spans="1:25" s="3" customFormat="1" ht="5.0999999999999996" customHeight="1">
      <c r="A2" s="24"/>
      <c r="B2" s="25"/>
      <c r="C2" s="407"/>
      <c r="D2" s="407"/>
      <c r="E2" s="407"/>
      <c r="F2" s="407"/>
      <c r="G2" s="420"/>
      <c r="H2" s="421"/>
    </row>
    <row r="3" spans="1:25" s="3" customFormat="1" ht="14.1" customHeight="1">
      <c r="A3" s="26" t="str">
        <f>'Coef. resumen'!A8</f>
        <v>LICITACIÓN PÚBLICA Nº 41/13</v>
      </c>
      <c r="B3" s="23"/>
      <c r="C3" s="364"/>
      <c r="D3" s="364"/>
      <c r="E3" s="7"/>
      <c r="F3" s="426" t="str">
        <f>'Coef. resumen'!E8</f>
        <v>A FECHA:</v>
      </c>
      <c r="G3" s="425" t="str">
        <f>'Coef. resumen'!F8</f>
        <v>Octubre 2013</v>
      </c>
      <c r="H3" s="422"/>
    </row>
    <row r="4" spans="1:25" s="3" customFormat="1" ht="5.0999999999999996" customHeight="1">
      <c r="A4" s="26"/>
      <c r="B4" s="9"/>
      <c r="C4" s="365"/>
      <c r="D4" s="365"/>
      <c r="E4" s="365"/>
      <c r="F4" s="365"/>
      <c r="G4" s="419"/>
      <c r="H4" s="422"/>
    </row>
    <row r="5" spans="1:25" s="3" customFormat="1" ht="14.1" customHeight="1">
      <c r="A5" s="26" t="str">
        <f>'Coef. resumen'!A10</f>
        <v>OBRA: Urbanizacion Valle Chico 1ª etapa: Obras de Infraestructura Pública y Nexos</v>
      </c>
      <c r="B5" s="6"/>
      <c r="C5" s="366"/>
      <c r="D5" s="366"/>
      <c r="E5" s="366"/>
      <c r="F5" s="366"/>
      <c r="G5" s="419"/>
      <c r="H5" s="422"/>
    </row>
    <row r="6" spans="1:25" s="3" customFormat="1" ht="5.0999999999999996" customHeight="1">
      <c r="A6" s="26"/>
      <c r="B6" s="9"/>
      <c r="C6" s="365"/>
      <c r="D6" s="365"/>
      <c r="E6" s="365"/>
      <c r="F6" s="365"/>
      <c r="G6" s="419"/>
      <c r="H6" s="422"/>
    </row>
    <row r="7" spans="1:25" s="3" customFormat="1" ht="14.1" customHeight="1">
      <c r="A7" s="26" t="str">
        <f>'Coef. resumen'!A12</f>
        <v>LOCALIDAD: Esquel</v>
      </c>
      <c r="B7" s="6"/>
      <c r="C7" s="366"/>
      <c r="D7" s="366"/>
      <c r="E7" s="366"/>
      <c r="F7" s="366"/>
      <c r="G7" s="419"/>
      <c r="H7" s="422"/>
    </row>
    <row r="8" spans="1:25" s="3" customFormat="1" ht="5.0999999999999996" customHeight="1">
      <c r="A8" s="28"/>
      <c r="B8" s="10"/>
      <c r="C8" s="408"/>
      <c r="D8" s="408"/>
      <c r="E8" s="408"/>
      <c r="F8" s="408"/>
      <c r="G8" s="423"/>
      <c r="H8" s="424"/>
    </row>
    <row r="9" spans="1:25" s="34" customFormat="1" ht="9.9499999999999993" customHeight="1">
      <c r="A9" s="62"/>
      <c r="B9" s="62"/>
      <c r="C9" s="62"/>
      <c r="D9" s="94"/>
      <c r="E9" s="62"/>
      <c r="F9" s="62"/>
      <c r="G9" s="62"/>
      <c r="H9" s="62"/>
      <c r="I9" s="62"/>
      <c r="J9" s="156"/>
      <c r="K9" s="48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5" s="70" customFormat="1" ht="18" customHeight="1">
      <c r="A10" s="551" t="s">
        <v>1247</v>
      </c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3"/>
      <c r="X10" s="445"/>
    </row>
    <row r="11" spans="1:25" ht="9.9499999999999993" customHeight="1">
      <c r="A11" s="193"/>
      <c r="X11" s="446"/>
    </row>
    <row r="12" spans="1:25">
      <c r="A12" s="638" t="s">
        <v>145</v>
      </c>
      <c r="B12" s="636" t="s">
        <v>146</v>
      </c>
      <c r="C12" s="636" t="s">
        <v>1230</v>
      </c>
      <c r="D12" s="636" t="s">
        <v>164</v>
      </c>
      <c r="E12" s="640" t="s">
        <v>316</v>
      </c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2"/>
      <c r="X12" s="447"/>
    </row>
    <row r="13" spans="1:25">
      <c r="A13" s="639"/>
      <c r="B13" s="637"/>
      <c r="C13" s="637"/>
      <c r="D13" s="637"/>
      <c r="E13" s="464">
        <v>1</v>
      </c>
      <c r="F13" s="464">
        <v>2</v>
      </c>
      <c r="G13" s="464">
        <v>3</v>
      </c>
      <c r="H13" s="464">
        <v>4</v>
      </c>
      <c r="I13" s="464">
        <v>5</v>
      </c>
      <c r="J13" s="464">
        <v>6</v>
      </c>
      <c r="K13" s="464">
        <v>7</v>
      </c>
      <c r="L13" s="464">
        <v>8</v>
      </c>
      <c r="M13" s="464">
        <v>9</v>
      </c>
      <c r="N13" s="464">
        <v>10</v>
      </c>
      <c r="O13" s="464">
        <v>11</v>
      </c>
      <c r="P13" s="464">
        <v>12</v>
      </c>
      <c r="Q13" s="464">
        <v>13</v>
      </c>
      <c r="R13" s="464">
        <v>14</v>
      </c>
      <c r="S13" s="464">
        <v>15</v>
      </c>
      <c r="T13" s="464">
        <v>16</v>
      </c>
      <c r="U13" s="464">
        <v>17</v>
      </c>
      <c r="V13" s="464">
        <v>18</v>
      </c>
      <c r="W13" s="448" t="s">
        <v>1233</v>
      </c>
      <c r="X13" s="447"/>
    </row>
    <row r="14" spans="1:25" ht="15.75">
      <c r="A14" s="461">
        <f>Presupuesto!A18</f>
        <v>1</v>
      </c>
      <c r="B14" s="634" t="str">
        <f>Presupuesto!B18</f>
        <v>Sistema de abastecimiento de agua potable</v>
      </c>
      <c r="C14" s="635"/>
      <c r="D14" s="43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435"/>
      <c r="Y14" s="200"/>
    </row>
    <row r="15" spans="1:25">
      <c r="A15" s="430" t="str">
        <f>Presupuesto!A19</f>
        <v>1.1</v>
      </c>
      <c r="B15" s="431" t="str">
        <f>Presupuesto!B19</f>
        <v>CAÑERIAS DE DISTRIBUCION</v>
      </c>
      <c r="C15" s="198">
        <f>Presupuesto!G19</f>
        <v>2761704.82</v>
      </c>
      <c r="D15" s="440">
        <f t="shared" ref="D15:D23" si="0">C15/$C$42</f>
        <v>8.7269514168037132E-2</v>
      </c>
      <c r="E15" s="199">
        <v>0.05</v>
      </c>
      <c r="F15" s="199">
        <v>0.05</v>
      </c>
      <c r="G15" s="199">
        <v>0.05</v>
      </c>
      <c r="H15" s="199">
        <v>0.05</v>
      </c>
      <c r="I15" s="199">
        <v>0.05</v>
      </c>
      <c r="J15" s="199">
        <v>0.05</v>
      </c>
      <c r="K15" s="199">
        <v>0.05</v>
      </c>
      <c r="L15" s="199">
        <v>0.1</v>
      </c>
      <c r="M15" s="199">
        <v>0.1</v>
      </c>
      <c r="N15" s="199">
        <v>0.1</v>
      </c>
      <c r="O15" s="199">
        <v>0.1</v>
      </c>
      <c r="P15" s="199">
        <v>0.1</v>
      </c>
      <c r="Q15" s="199">
        <v>0.05</v>
      </c>
      <c r="R15" s="199">
        <v>0.05</v>
      </c>
      <c r="S15" s="199">
        <v>0.05</v>
      </c>
      <c r="T15" s="199">
        <v>0</v>
      </c>
      <c r="U15" s="199">
        <v>0</v>
      </c>
      <c r="V15" s="199">
        <v>0</v>
      </c>
      <c r="W15" s="199"/>
      <c r="X15" s="435"/>
      <c r="Y15" s="200">
        <f t="shared" ref="Y15:Y23" si="1">SUM(E15:V15)</f>
        <v>1</v>
      </c>
    </row>
    <row r="16" spans="1:25">
      <c r="A16" s="430" t="str">
        <f>Presupuesto!A24</f>
        <v>1.2</v>
      </c>
      <c r="B16" s="431" t="str">
        <f>Presupuesto!B24</f>
        <v>VÁLVULAS</v>
      </c>
      <c r="C16" s="198">
        <f>Presupuesto!G24</f>
        <v>159185.35999999999</v>
      </c>
      <c r="D16" s="440">
        <f t="shared" si="0"/>
        <v>5.0302367324919581E-3</v>
      </c>
      <c r="E16" s="199">
        <v>0</v>
      </c>
      <c r="F16" s="199">
        <v>0</v>
      </c>
      <c r="G16" s="199">
        <v>0</v>
      </c>
      <c r="H16" s="199">
        <v>0.1</v>
      </c>
      <c r="I16" s="199">
        <v>0.1</v>
      </c>
      <c r="J16" s="199">
        <v>0.1</v>
      </c>
      <c r="K16" s="199">
        <v>0.1</v>
      </c>
      <c r="L16" s="199">
        <v>0.1</v>
      </c>
      <c r="M16" s="199">
        <v>0.1</v>
      </c>
      <c r="N16" s="199">
        <v>0.1</v>
      </c>
      <c r="O16" s="199">
        <v>0</v>
      </c>
      <c r="P16" s="199">
        <v>0</v>
      </c>
      <c r="Q16" s="199">
        <v>0.05</v>
      </c>
      <c r="R16" s="199">
        <v>0.1</v>
      </c>
      <c r="S16" s="199">
        <v>0.05</v>
      </c>
      <c r="T16" s="199">
        <v>0.05</v>
      </c>
      <c r="U16" s="199">
        <v>0.05</v>
      </c>
      <c r="V16" s="199"/>
      <c r="W16" s="199"/>
      <c r="X16" s="435"/>
      <c r="Y16" s="200">
        <f t="shared" si="1"/>
        <v>1</v>
      </c>
    </row>
    <row r="17" spans="1:25">
      <c r="A17" s="430" t="str">
        <f>Presupuesto!A30</f>
        <v>1.3</v>
      </c>
      <c r="B17" s="431" t="str">
        <f>Presupuesto!B30</f>
        <v>HIDRANTES</v>
      </c>
      <c r="C17" s="198">
        <f>Presupuesto!G30</f>
        <v>50822.55</v>
      </c>
      <c r="D17" s="440">
        <f t="shared" si="0"/>
        <v>1.6059859892197949E-3</v>
      </c>
      <c r="E17" s="199"/>
      <c r="F17" s="199">
        <v>0</v>
      </c>
      <c r="G17" s="199">
        <v>0</v>
      </c>
      <c r="H17" s="199">
        <v>0.1</v>
      </c>
      <c r="I17" s="199">
        <v>0.1</v>
      </c>
      <c r="J17" s="199">
        <v>0.1</v>
      </c>
      <c r="K17" s="199">
        <v>0.1</v>
      </c>
      <c r="L17" s="199">
        <v>0.1</v>
      </c>
      <c r="M17" s="199">
        <v>0.1</v>
      </c>
      <c r="N17" s="199">
        <v>0.1</v>
      </c>
      <c r="O17" s="199">
        <v>0.1</v>
      </c>
      <c r="P17" s="199">
        <v>0.1</v>
      </c>
      <c r="Q17" s="199">
        <v>0.1</v>
      </c>
      <c r="R17" s="199"/>
      <c r="S17" s="199"/>
      <c r="T17" s="199"/>
      <c r="U17" s="199"/>
      <c r="V17" s="199"/>
      <c r="W17" s="199"/>
      <c r="X17" s="435"/>
      <c r="Y17" s="200">
        <f t="shared" si="1"/>
        <v>0.99999999999999989</v>
      </c>
    </row>
    <row r="18" spans="1:25">
      <c r="A18" s="430" t="str">
        <f>Presupuesto!A32</f>
        <v>1.4</v>
      </c>
      <c r="B18" s="431" t="str">
        <f>Presupuesto!B32</f>
        <v xml:space="preserve">CAPTACIÓN </v>
      </c>
      <c r="C18" s="198">
        <f>Presupuesto!G32</f>
        <v>915162.79999999993</v>
      </c>
      <c r="D18" s="440">
        <f t="shared" si="0"/>
        <v>2.8919025799672728E-2</v>
      </c>
      <c r="E18" s="199"/>
      <c r="F18" s="199">
        <v>0</v>
      </c>
      <c r="G18" s="199">
        <v>0</v>
      </c>
      <c r="H18" s="199">
        <v>0</v>
      </c>
      <c r="I18" s="199">
        <v>0</v>
      </c>
      <c r="J18" s="199">
        <v>0.1</v>
      </c>
      <c r="K18" s="199">
        <v>0.1</v>
      </c>
      <c r="L18" s="199">
        <v>0.15</v>
      </c>
      <c r="M18" s="199">
        <v>0.15</v>
      </c>
      <c r="N18" s="199">
        <v>0.15</v>
      </c>
      <c r="O18" s="199">
        <v>0.15</v>
      </c>
      <c r="P18" s="199"/>
      <c r="Q18" s="199"/>
      <c r="R18" s="199"/>
      <c r="S18" s="199"/>
      <c r="T18" s="199">
        <v>0.15</v>
      </c>
      <c r="U18" s="199">
        <v>0.05</v>
      </c>
      <c r="V18" s="199"/>
      <c r="W18" s="199"/>
      <c r="X18" s="435"/>
      <c r="Y18" s="200">
        <f t="shared" si="1"/>
        <v>1</v>
      </c>
    </row>
    <row r="19" spans="1:25">
      <c r="A19" s="430">
        <f>Presupuesto!A36</f>
        <v>1.5</v>
      </c>
      <c r="B19" s="429" t="str">
        <f>Presupuesto!B36</f>
        <v>NEXO</v>
      </c>
      <c r="C19" s="198">
        <f>Presupuesto!G36</f>
        <v>912613.28</v>
      </c>
      <c r="D19" s="440">
        <f t="shared" si="0"/>
        <v>2.8838461298300099E-2</v>
      </c>
      <c r="E19" s="199">
        <v>0.05</v>
      </c>
      <c r="F19" s="199">
        <v>0.05</v>
      </c>
      <c r="G19" s="199">
        <v>0.05</v>
      </c>
      <c r="H19" s="199">
        <v>0.05</v>
      </c>
      <c r="I19" s="199">
        <v>0.05</v>
      </c>
      <c r="J19" s="199">
        <v>0.05</v>
      </c>
      <c r="K19" s="199">
        <v>0.05</v>
      </c>
      <c r="L19" s="199">
        <v>0.1</v>
      </c>
      <c r="M19" s="199">
        <v>0.1</v>
      </c>
      <c r="N19" s="199">
        <v>0.1</v>
      </c>
      <c r="O19" s="199">
        <v>0.1</v>
      </c>
      <c r="P19" s="199">
        <v>0.1</v>
      </c>
      <c r="Q19" s="199">
        <v>0.1</v>
      </c>
      <c r="R19" s="199">
        <v>0.05</v>
      </c>
      <c r="S19" s="199">
        <v>0</v>
      </c>
      <c r="T19" s="199">
        <v>0</v>
      </c>
      <c r="U19" s="199">
        <v>0</v>
      </c>
      <c r="V19" s="199"/>
      <c r="W19" s="199"/>
      <c r="X19" s="435"/>
      <c r="Y19" s="200">
        <f t="shared" si="1"/>
        <v>0.99999999999999989</v>
      </c>
    </row>
    <row r="20" spans="1:25">
      <c r="A20" s="430" t="str">
        <f>Presupuesto!A40</f>
        <v>1.6</v>
      </c>
      <c r="B20" s="429" t="str">
        <f>Presupuesto!B40</f>
        <v>SISTEMA DE CLORACIÓN</v>
      </c>
      <c r="C20" s="198">
        <f>Presupuesto!G40</f>
        <v>219948.83999999997</v>
      </c>
      <c r="D20" s="440">
        <f t="shared" si="0"/>
        <v>6.9503548205500582E-3</v>
      </c>
      <c r="E20" s="199"/>
      <c r="F20" s="199"/>
      <c r="G20" s="199"/>
      <c r="H20" s="199"/>
      <c r="I20" s="199">
        <v>0</v>
      </c>
      <c r="J20" s="199">
        <v>0.1</v>
      </c>
      <c r="K20" s="199">
        <v>0.1</v>
      </c>
      <c r="L20" s="199">
        <v>0.1</v>
      </c>
      <c r="M20" s="199">
        <v>0.1</v>
      </c>
      <c r="N20" s="199">
        <v>0.1</v>
      </c>
      <c r="O20" s="199">
        <v>0.1</v>
      </c>
      <c r="P20" s="199">
        <v>0.1</v>
      </c>
      <c r="Q20" s="199">
        <v>0.1</v>
      </c>
      <c r="R20" s="199">
        <v>0.1</v>
      </c>
      <c r="S20" s="199">
        <v>0.05</v>
      </c>
      <c r="T20" s="199">
        <v>0</v>
      </c>
      <c r="U20" s="199">
        <v>0</v>
      </c>
      <c r="V20" s="199">
        <v>0.05</v>
      </c>
      <c r="W20" s="199"/>
      <c r="X20" s="435"/>
      <c r="Y20" s="200">
        <f t="shared" si="1"/>
        <v>1</v>
      </c>
    </row>
    <row r="21" spans="1:25">
      <c r="A21" s="430" t="str">
        <f>Presupuesto!A49</f>
        <v>1.7</v>
      </c>
      <c r="B21" s="429" t="str">
        <f>Presupuesto!B49</f>
        <v>CISTERNA de Hormigón Armado 100 m³</v>
      </c>
      <c r="C21" s="198">
        <f>Presupuesto!G49</f>
        <v>418327.87000000005</v>
      </c>
      <c r="D21" s="440">
        <f t="shared" si="0"/>
        <v>1.3219106442320581E-2</v>
      </c>
      <c r="E21" s="199"/>
      <c r="F21" s="199"/>
      <c r="G21" s="199">
        <v>0.1</v>
      </c>
      <c r="H21" s="199">
        <v>0.1</v>
      </c>
      <c r="I21" s="199">
        <v>0.1</v>
      </c>
      <c r="J21" s="199">
        <v>0.1</v>
      </c>
      <c r="K21" s="199">
        <v>0.1</v>
      </c>
      <c r="L21" s="199">
        <v>0.1</v>
      </c>
      <c r="M21" s="199">
        <v>0.1</v>
      </c>
      <c r="N21" s="199">
        <v>0.1</v>
      </c>
      <c r="O21" s="199">
        <v>0</v>
      </c>
      <c r="P21" s="199"/>
      <c r="Q21" s="199">
        <v>0</v>
      </c>
      <c r="R21" s="199">
        <v>0</v>
      </c>
      <c r="S21" s="199">
        <v>0.05</v>
      </c>
      <c r="T21" s="199">
        <v>0.05</v>
      </c>
      <c r="U21" s="199">
        <v>0.05</v>
      </c>
      <c r="V21" s="199">
        <v>0.05</v>
      </c>
      <c r="W21" s="199"/>
      <c r="X21" s="435"/>
      <c r="Y21" s="200">
        <f t="shared" si="1"/>
        <v>1</v>
      </c>
    </row>
    <row r="22" spans="1:25">
      <c r="A22" s="430" t="str">
        <f>Presupuesto!A59</f>
        <v>1.8</v>
      </c>
      <c r="B22" s="429" t="str">
        <f>Presupuesto!B59</f>
        <v>CISTERNA de Hormigón Armado 1000 m³</v>
      </c>
      <c r="C22" s="198">
        <f>Presupuesto!G59</f>
        <v>2391858.4200000004</v>
      </c>
      <c r="D22" s="440">
        <f t="shared" si="0"/>
        <v>7.5582415890532773E-2</v>
      </c>
      <c r="E22" s="199"/>
      <c r="F22" s="199"/>
      <c r="G22" s="199"/>
      <c r="H22" s="199">
        <v>0.05</v>
      </c>
      <c r="I22" s="199">
        <v>0.05</v>
      </c>
      <c r="J22" s="199">
        <v>0.1</v>
      </c>
      <c r="K22" s="199">
        <v>0.1</v>
      </c>
      <c r="L22" s="199">
        <v>0.1</v>
      </c>
      <c r="M22" s="199">
        <v>0.1</v>
      </c>
      <c r="N22" s="199">
        <v>0.1</v>
      </c>
      <c r="O22" s="199">
        <v>0.1</v>
      </c>
      <c r="P22" s="199">
        <v>0.1</v>
      </c>
      <c r="Q22" s="199">
        <v>0.05</v>
      </c>
      <c r="R22" s="199">
        <v>0.05</v>
      </c>
      <c r="S22" s="199">
        <v>0.05</v>
      </c>
      <c r="T22" s="199">
        <v>0</v>
      </c>
      <c r="U22" s="199">
        <v>0</v>
      </c>
      <c r="V22" s="199">
        <v>0.05</v>
      </c>
      <c r="W22" s="199"/>
      <c r="X22" s="435"/>
      <c r="Y22" s="200">
        <f t="shared" si="1"/>
        <v>1</v>
      </c>
    </row>
    <row r="23" spans="1:25">
      <c r="A23" s="430" t="str">
        <f>Presupuesto!A69</f>
        <v>1.9</v>
      </c>
      <c r="B23" s="429" t="str">
        <f>Presupuesto!B69</f>
        <v>CERCOS PERIMETRALES</v>
      </c>
      <c r="C23" s="198">
        <f>Presupuesto!G69</f>
        <v>390111.84</v>
      </c>
      <c r="D23" s="440">
        <f t="shared" si="0"/>
        <v>1.2327483553437487E-2</v>
      </c>
      <c r="E23" s="199"/>
      <c r="F23" s="199"/>
      <c r="G23" s="199">
        <v>0.2</v>
      </c>
      <c r="H23" s="199">
        <v>0.2</v>
      </c>
      <c r="I23" s="199">
        <v>0.2</v>
      </c>
      <c r="J23" s="199">
        <v>0.2</v>
      </c>
      <c r="K23" s="199">
        <v>0.1</v>
      </c>
      <c r="L23" s="199">
        <v>0.05</v>
      </c>
      <c r="M23" s="199">
        <v>0.05</v>
      </c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435"/>
      <c r="Y23" s="200">
        <f t="shared" si="1"/>
        <v>1</v>
      </c>
    </row>
    <row r="24" spans="1:25" ht="15.75">
      <c r="A24" s="461">
        <f>Presupuesto!A74</f>
        <v>2</v>
      </c>
      <c r="B24" s="634" t="str">
        <f>Presupuesto!B74</f>
        <v>Sistema de desagües cloacales</v>
      </c>
      <c r="C24" s="635"/>
      <c r="D24" s="440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435"/>
      <c r="Y24" s="200"/>
    </row>
    <row r="25" spans="1:25">
      <c r="A25" s="430" t="str">
        <f>Presupuesto!A75</f>
        <v>2.1</v>
      </c>
      <c r="B25" s="432" t="str">
        <f>Presupuesto!B75</f>
        <v>CAÑERIAS COLECTORAS</v>
      </c>
      <c r="C25" s="198">
        <f>Presupuesto!G75</f>
        <v>2139021.17</v>
      </c>
      <c r="D25" s="440">
        <f>C25/$C$42</f>
        <v>6.7592791579024133E-2</v>
      </c>
      <c r="E25" s="199">
        <v>0.05</v>
      </c>
      <c r="F25" s="199">
        <v>0.05</v>
      </c>
      <c r="G25" s="199">
        <v>0.05</v>
      </c>
      <c r="H25" s="199">
        <v>0.05</v>
      </c>
      <c r="I25" s="199">
        <v>0.05</v>
      </c>
      <c r="J25" s="199">
        <v>0.05</v>
      </c>
      <c r="K25" s="199">
        <v>0.05</v>
      </c>
      <c r="L25" s="199">
        <v>0.05</v>
      </c>
      <c r="M25" s="199">
        <v>0</v>
      </c>
      <c r="N25" s="199">
        <v>0.05</v>
      </c>
      <c r="O25" s="199">
        <v>0.1</v>
      </c>
      <c r="P25" s="199">
        <v>0.1</v>
      </c>
      <c r="Q25" s="199">
        <v>0.1</v>
      </c>
      <c r="R25" s="199">
        <v>0.1</v>
      </c>
      <c r="S25" s="199">
        <v>0.05</v>
      </c>
      <c r="T25" s="199">
        <v>0.05</v>
      </c>
      <c r="U25" s="199">
        <v>0.05</v>
      </c>
      <c r="V25" s="199"/>
      <c r="W25" s="199"/>
      <c r="X25" s="435"/>
      <c r="Y25" s="200">
        <f>SUM(E25:V25)</f>
        <v>1</v>
      </c>
    </row>
    <row r="26" spans="1:25">
      <c r="A26" s="430" t="str">
        <f>Presupuesto!A79</f>
        <v>2.2</v>
      </c>
      <c r="B26" s="432" t="str">
        <f>Presupuesto!B79</f>
        <v>BOCAS DE REGISTRO</v>
      </c>
      <c r="C26" s="198">
        <f>Presupuesto!G79</f>
        <v>539649.19999999995</v>
      </c>
      <c r="D26" s="440">
        <f>C26/$C$42</f>
        <v>1.7052844737103331E-2</v>
      </c>
      <c r="E26" s="199"/>
      <c r="F26" s="199"/>
      <c r="G26" s="199"/>
      <c r="H26" s="199"/>
      <c r="I26" s="199">
        <v>0.05</v>
      </c>
      <c r="J26" s="199">
        <v>0.05</v>
      </c>
      <c r="K26" s="199">
        <v>0.05</v>
      </c>
      <c r="L26" s="199">
        <v>0.05</v>
      </c>
      <c r="M26" s="199">
        <v>0.1</v>
      </c>
      <c r="N26" s="199">
        <v>0.1</v>
      </c>
      <c r="O26" s="199">
        <v>0.1</v>
      </c>
      <c r="P26" s="199">
        <v>0.1</v>
      </c>
      <c r="Q26" s="199">
        <v>0.1</v>
      </c>
      <c r="R26" s="199">
        <v>0.1</v>
      </c>
      <c r="S26" s="199">
        <v>0.1</v>
      </c>
      <c r="T26" s="199">
        <v>0.05</v>
      </c>
      <c r="U26" s="199">
        <v>0.05</v>
      </c>
      <c r="V26" s="199"/>
      <c r="W26" s="199"/>
      <c r="X26" s="435"/>
      <c r="Y26" s="200">
        <f>SUM(E26:V26)</f>
        <v>1</v>
      </c>
    </row>
    <row r="27" spans="1:25">
      <c r="A27" s="430" t="str">
        <f>Presupuesto!A83</f>
        <v>2.3</v>
      </c>
      <c r="B27" s="432" t="str">
        <f>Presupuesto!B83</f>
        <v>CAÑERIA PRINCIPAL (NEXO)</v>
      </c>
      <c r="C27" s="198">
        <f>Presupuesto!G83</f>
        <v>3871284.27</v>
      </c>
      <c r="D27" s="440">
        <f>C27/$C$42</f>
        <v>0.12233208089533054</v>
      </c>
      <c r="E27" s="199">
        <v>0.05</v>
      </c>
      <c r="F27" s="199">
        <v>0.05</v>
      </c>
      <c r="G27" s="199">
        <v>0.05</v>
      </c>
      <c r="H27" s="199">
        <v>0.05</v>
      </c>
      <c r="I27" s="199">
        <v>0.05</v>
      </c>
      <c r="J27" s="199">
        <v>0.05</v>
      </c>
      <c r="K27" s="199">
        <v>0.05</v>
      </c>
      <c r="L27" s="199">
        <v>0.05</v>
      </c>
      <c r="M27" s="199">
        <v>0.05</v>
      </c>
      <c r="N27" s="199">
        <v>0.05</v>
      </c>
      <c r="O27" s="199">
        <v>0.1</v>
      </c>
      <c r="P27" s="199">
        <v>0.1</v>
      </c>
      <c r="Q27" s="199">
        <v>0.1</v>
      </c>
      <c r="R27" s="199">
        <v>0.1</v>
      </c>
      <c r="S27" s="199">
        <v>0.05</v>
      </c>
      <c r="T27" s="199">
        <v>0.05</v>
      </c>
      <c r="U27" s="199">
        <v>0</v>
      </c>
      <c r="V27" s="199">
        <v>0</v>
      </c>
      <c r="W27" s="199"/>
      <c r="X27" s="435"/>
      <c r="Y27" s="200">
        <f>SUM(E27:V27)</f>
        <v>1</v>
      </c>
    </row>
    <row r="28" spans="1:25">
      <c r="A28" s="430" t="str">
        <f>Presupuesto!A87</f>
        <v>2.4</v>
      </c>
      <c r="B28" s="432" t="str">
        <f>Presupuesto!B87</f>
        <v>BOCAS DE REGISTRO</v>
      </c>
      <c r="C28" s="198">
        <f>Presupuesto!G87</f>
        <v>349705.78</v>
      </c>
      <c r="D28" s="440">
        <f>C28/$C$42</f>
        <v>1.1050657297384331E-2</v>
      </c>
      <c r="E28" s="199"/>
      <c r="F28" s="199"/>
      <c r="G28" s="199"/>
      <c r="H28" s="199"/>
      <c r="I28" s="199">
        <v>0.05</v>
      </c>
      <c r="J28" s="199">
        <v>0.05</v>
      </c>
      <c r="K28" s="199">
        <v>0.05</v>
      </c>
      <c r="L28" s="199">
        <v>0.05</v>
      </c>
      <c r="M28" s="199">
        <v>0.1</v>
      </c>
      <c r="N28" s="199">
        <v>0.1</v>
      </c>
      <c r="O28" s="199">
        <v>0.1</v>
      </c>
      <c r="P28" s="199">
        <v>0.1</v>
      </c>
      <c r="Q28" s="199">
        <v>0.1</v>
      </c>
      <c r="R28" s="199">
        <v>0.1</v>
      </c>
      <c r="S28" s="199">
        <v>0.1</v>
      </c>
      <c r="T28" s="199">
        <v>0.05</v>
      </c>
      <c r="U28" s="199">
        <v>0.05</v>
      </c>
      <c r="V28" s="199"/>
      <c r="W28" s="199"/>
      <c r="X28" s="435"/>
      <c r="Y28" s="200">
        <f>SUM(E28:V28)</f>
        <v>1</v>
      </c>
    </row>
    <row r="29" spans="1:25" ht="15.75">
      <c r="A29" s="461">
        <f>Presupuesto!A91</f>
        <v>3</v>
      </c>
      <c r="B29" s="634" t="str">
        <f>Presupuesto!B91</f>
        <v>Red Vial</v>
      </c>
      <c r="C29" s="635"/>
      <c r="D29" s="440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435"/>
      <c r="Y29" s="200"/>
    </row>
    <row r="30" spans="1:25">
      <c r="A30" s="430" t="str">
        <f>Presupuesto!A92</f>
        <v>3.1</v>
      </c>
      <c r="B30" s="433" t="str">
        <f>Presupuesto!B92</f>
        <v>TAREAS PREVIAS</v>
      </c>
      <c r="C30" s="198">
        <f>Presupuesto!G92</f>
        <v>3026837</v>
      </c>
      <c r="D30" s="440">
        <f>C30/$C$42</f>
        <v>9.5647656673112161E-2</v>
      </c>
      <c r="E30" s="199">
        <v>0.05</v>
      </c>
      <c r="F30" s="199">
        <v>0.05</v>
      </c>
      <c r="G30" s="199">
        <v>0.1</v>
      </c>
      <c r="H30" s="199">
        <v>0.1</v>
      </c>
      <c r="I30" s="199">
        <v>0.1</v>
      </c>
      <c r="J30" s="199">
        <v>0.1</v>
      </c>
      <c r="K30" s="199">
        <v>0.1</v>
      </c>
      <c r="L30" s="199">
        <v>0.1</v>
      </c>
      <c r="M30" s="199">
        <v>0.1</v>
      </c>
      <c r="N30" s="199">
        <v>0.1</v>
      </c>
      <c r="O30" s="199">
        <v>0.05</v>
      </c>
      <c r="P30" s="199">
        <v>0.05</v>
      </c>
      <c r="Q30" s="199"/>
      <c r="R30" s="199"/>
      <c r="S30" s="199"/>
      <c r="T30" s="199"/>
      <c r="U30" s="199"/>
      <c r="V30" s="199"/>
      <c r="W30" s="199"/>
      <c r="X30" s="435"/>
      <c r="Y30" s="200">
        <f>SUM(E30:V30)</f>
        <v>1</v>
      </c>
    </row>
    <row r="31" spans="1:25">
      <c r="A31" s="430" t="str">
        <f>Presupuesto!A95</f>
        <v>3.2</v>
      </c>
      <c r="B31" s="433" t="str">
        <f>Presupuesto!B95</f>
        <v>CALZADA</v>
      </c>
      <c r="C31" s="198">
        <f>Presupuesto!G95</f>
        <v>5146758.4800000004</v>
      </c>
      <c r="D31" s="440">
        <f>C31/$C$42</f>
        <v>0.16263690052502616</v>
      </c>
      <c r="E31" s="199"/>
      <c r="F31" s="199"/>
      <c r="G31" s="199"/>
      <c r="H31" s="199">
        <v>0.05</v>
      </c>
      <c r="I31" s="199">
        <v>0.05</v>
      </c>
      <c r="J31" s="199">
        <v>0.05</v>
      </c>
      <c r="K31" s="199">
        <v>0.05</v>
      </c>
      <c r="L31" s="199">
        <v>0.05</v>
      </c>
      <c r="M31" s="199">
        <v>0.05</v>
      </c>
      <c r="N31" s="199">
        <v>0.05</v>
      </c>
      <c r="O31" s="199">
        <v>0.1</v>
      </c>
      <c r="P31" s="199">
        <v>0.1</v>
      </c>
      <c r="Q31" s="199">
        <v>0.1</v>
      </c>
      <c r="R31" s="199">
        <v>0.1</v>
      </c>
      <c r="S31" s="199">
        <v>0.1</v>
      </c>
      <c r="T31" s="199">
        <v>0.1</v>
      </c>
      <c r="U31" s="199">
        <v>0.05</v>
      </c>
      <c r="V31" s="199">
        <v>0</v>
      </c>
      <c r="W31" s="199"/>
      <c r="X31" s="435"/>
      <c r="Y31" s="200">
        <f>SUM(E31:V31)</f>
        <v>0.99999999999999989</v>
      </c>
    </row>
    <row r="32" spans="1:25" ht="15.75">
      <c r="A32" s="461">
        <f>Presupuesto!A97</f>
        <v>4</v>
      </c>
      <c r="B32" s="634" t="str">
        <f>Presupuesto!B97</f>
        <v xml:space="preserve">Red Primaria de Media Tensión </v>
      </c>
      <c r="C32" s="635"/>
      <c r="D32" s="440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435"/>
      <c r="Y32" s="200"/>
    </row>
    <row r="33" spans="1:25">
      <c r="A33" s="430" t="str">
        <f>Presupuesto!A98</f>
        <v>4.1</v>
      </c>
      <c r="B33" s="429" t="str">
        <f>Presupuesto!B98</f>
        <v>MOVIMIENTO DE SUELOS</v>
      </c>
      <c r="C33" s="198">
        <f>Presupuesto!G98</f>
        <v>687225</v>
      </c>
      <c r="D33" s="440">
        <f>C33/$C$42</f>
        <v>2.1716220879148596E-2</v>
      </c>
      <c r="E33" s="199"/>
      <c r="F33" s="199"/>
      <c r="G33" s="199"/>
      <c r="H33" s="199">
        <v>0.05</v>
      </c>
      <c r="I33" s="199">
        <v>0.05</v>
      </c>
      <c r="J33" s="199">
        <v>0.05</v>
      </c>
      <c r="K33" s="199">
        <v>0.05</v>
      </c>
      <c r="L33" s="199">
        <v>0.05</v>
      </c>
      <c r="M33" s="199">
        <v>0.05</v>
      </c>
      <c r="N33" s="199">
        <v>0.1</v>
      </c>
      <c r="O33" s="199">
        <v>0.1</v>
      </c>
      <c r="P33" s="199">
        <v>0.1</v>
      </c>
      <c r="Q33" s="199">
        <v>0.1</v>
      </c>
      <c r="R33" s="199">
        <v>0.1</v>
      </c>
      <c r="S33" s="199">
        <v>0.1</v>
      </c>
      <c r="T33" s="199">
        <v>0.1</v>
      </c>
      <c r="U33" s="199">
        <v>0</v>
      </c>
      <c r="V33" s="199"/>
      <c r="W33" s="199"/>
      <c r="X33" s="435"/>
      <c r="Y33" s="200">
        <f>SUM(E33:V33)</f>
        <v>0.99999999999999989</v>
      </c>
    </row>
    <row r="34" spans="1:25">
      <c r="A34" s="430" t="str">
        <f>Presupuesto!A100</f>
        <v>4.2</v>
      </c>
      <c r="B34" s="429" t="str">
        <f>Presupuesto!B100</f>
        <v>CONDUCTORES</v>
      </c>
      <c r="C34" s="198">
        <f>Presupuesto!G100</f>
        <v>1752954.3</v>
      </c>
      <c r="D34" s="440">
        <f>C34/$C$42</f>
        <v>5.5393128553026034E-2</v>
      </c>
      <c r="E34" s="199"/>
      <c r="F34" s="199"/>
      <c r="G34" s="199"/>
      <c r="H34" s="199"/>
      <c r="I34" s="199">
        <v>0.05</v>
      </c>
      <c r="J34" s="199">
        <v>0.05</v>
      </c>
      <c r="K34" s="199">
        <v>0.05</v>
      </c>
      <c r="L34" s="199">
        <v>0.05</v>
      </c>
      <c r="M34" s="199">
        <v>0.1</v>
      </c>
      <c r="N34" s="199">
        <v>0.1</v>
      </c>
      <c r="O34" s="199">
        <v>0.1</v>
      </c>
      <c r="P34" s="199">
        <v>0.1</v>
      </c>
      <c r="Q34" s="199">
        <v>0.1</v>
      </c>
      <c r="R34" s="199">
        <v>0.1</v>
      </c>
      <c r="S34" s="199">
        <v>0.1</v>
      </c>
      <c r="T34" s="199">
        <v>0.1</v>
      </c>
      <c r="U34" s="199">
        <v>0</v>
      </c>
      <c r="V34" s="199"/>
      <c r="W34" s="199"/>
      <c r="X34" s="435"/>
      <c r="Y34" s="200">
        <f>SUM(E34:V34)</f>
        <v>0.99999999999999989</v>
      </c>
    </row>
    <row r="35" spans="1:25" ht="15.75">
      <c r="A35" s="461">
        <f>Presupuesto!A104</f>
        <v>5</v>
      </c>
      <c r="B35" s="634" t="str">
        <f>Presupuesto!B104</f>
        <v>Subestación Transformadora</v>
      </c>
      <c r="C35" s="635"/>
      <c r="D35" s="440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435"/>
      <c r="Y35" s="200"/>
    </row>
    <row r="36" spans="1:25">
      <c r="A36" s="430" t="str">
        <f>Presupuesto!A105</f>
        <v>5.1</v>
      </c>
      <c r="B36" s="197" t="str">
        <f>Presupuesto!B105</f>
        <v>SUBESTACIÓN TRANSFORMADORA</v>
      </c>
      <c r="C36" s="198">
        <f>Presupuesto!G105</f>
        <v>1112819</v>
      </c>
      <c r="D36" s="440">
        <f>C36/$C$42</f>
        <v>3.5164936087181436E-2</v>
      </c>
      <c r="E36" s="199"/>
      <c r="F36" s="199"/>
      <c r="G36" s="199"/>
      <c r="H36" s="199"/>
      <c r="I36" s="199"/>
      <c r="J36" s="199">
        <v>0.15</v>
      </c>
      <c r="K36" s="199">
        <v>0.15</v>
      </c>
      <c r="L36" s="199">
        <v>0.25</v>
      </c>
      <c r="M36" s="199">
        <v>0.25</v>
      </c>
      <c r="N36" s="199">
        <v>0.2</v>
      </c>
      <c r="O36" s="199"/>
      <c r="P36" s="199"/>
      <c r="Q36" s="199"/>
      <c r="R36" s="199"/>
      <c r="S36" s="199"/>
      <c r="T36" s="199"/>
      <c r="U36" s="199"/>
      <c r="V36" s="199"/>
      <c r="W36" s="199"/>
      <c r="X36" s="435"/>
      <c r="Y36" s="200">
        <f>SUM(E36:V36)</f>
        <v>1</v>
      </c>
    </row>
    <row r="37" spans="1:25" ht="15.75">
      <c r="A37" s="461">
        <f>Presupuesto!A108</f>
        <v>6</v>
      </c>
      <c r="B37" s="634" t="str">
        <f>Presupuesto!B108</f>
        <v>Red Eléctrica y Alumbrado Público</v>
      </c>
      <c r="C37" s="635"/>
      <c r="D37" s="440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435"/>
      <c r="Y37" s="200"/>
    </row>
    <row r="38" spans="1:25">
      <c r="A38" s="430" t="str">
        <f>Presupuesto!A109</f>
        <v>6.1</v>
      </c>
      <c r="B38" s="429" t="str">
        <f>Presupuesto!B109</f>
        <v>ESTRUCTURA DE SOSTÉN</v>
      </c>
      <c r="C38" s="198">
        <f>Presupuesto!G109</f>
        <v>2992751.3099999996</v>
      </c>
      <c r="D38" s="440">
        <f>C38/$C$42</f>
        <v>9.457055328941949E-2</v>
      </c>
      <c r="E38" s="199"/>
      <c r="F38" s="199"/>
      <c r="G38" s="199"/>
      <c r="H38" s="199">
        <v>0.05</v>
      </c>
      <c r="I38" s="199">
        <v>0.05</v>
      </c>
      <c r="J38" s="199">
        <v>0.05</v>
      </c>
      <c r="K38" s="199">
        <v>0.1</v>
      </c>
      <c r="L38" s="199">
        <v>0.1</v>
      </c>
      <c r="M38" s="199">
        <v>0.1</v>
      </c>
      <c r="N38" s="199">
        <v>0.1</v>
      </c>
      <c r="O38" s="199">
        <v>0.1</v>
      </c>
      <c r="P38" s="199">
        <v>0.1</v>
      </c>
      <c r="Q38" s="199">
        <v>0.1</v>
      </c>
      <c r="R38" s="199">
        <v>0.1</v>
      </c>
      <c r="S38" s="199">
        <v>0.05</v>
      </c>
      <c r="T38" s="199"/>
      <c r="U38" s="199"/>
      <c r="V38" s="199"/>
      <c r="W38" s="199"/>
      <c r="X38" s="435"/>
      <c r="Y38" s="200">
        <f>SUM(E38:V38)</f>
        <v>0.99999999999999989</v>
      </c>
    </row>
    <row r="39" spans="1:25">
      <c r="A39" s="430" t="str">
        <f>Presupuesto!A114</f>
        <v>6.2</v>
      </c>
      <c r="B39" s="429" t="str">
        <f>Presupuesto!B114</f>
        <v>CONDUCTORES</v>
      </c>
      <c r="C39" s="198">
        <f>Presupuesto!G114</f>
        <v>1136703</v>
      </c>
      <c r="D39" s="440">
        <f>C39/$C$42</f>
        <v>3.5919667389851723E-2</v>
      </c>
      <c r="E39" s="199"/>
      <c r="F39" s="199"/>
      <c r="G39" s="199"/>
      <c r="H39" s="199"/>
      <c r="I39" s="199"/>
      <c r="J39" s="199"/>
      <c r="K39" s="199"/>
      <c r="L39" s="199">
        <v>0.1</v>
      </c>
      <c r="M39" s="199">
        <v>0.1</v>
      </c>
      <c r="N39" s="199">
        <v>0.1</v>
      </c>
      <c r="O39" s="199">
        <v>0.1</v>
      </c>
      <c r="P39" s="199">
        <v>0.1</v>
      </c>
      <c r="Q39" s="199">
        <v>0.1</v>
      </c>
      <c r="R39" s="199">
        <v>0.1</v>
      </c>
      <c r="S39" s="199">
        <v>0.1</v>
      </c>
      <c r="T39" s="199">
        <v>0.1</v>
      </c>
      <c r="U39" s="199">
        <v>0.1</v>
      </c>
      <c r="V39" s="199"/>
      <c r="W39" s="199"/>
      <c r="X39" s="435"/>
      <c r="Y39" s="200">
        <f>SUM(E39:V39)</f>
        <v>0.99999999999999989</v>
      </c>
    </row>
    <row r="40" spans="1:25">
      <c r="A40" s="430" t="str">
        <f>Presupuesto!A119</f>
        <v>6.3</v>
      </c>
      <c r="B40" s="429" t="str">
        <f>Presupuesto!B119</f>
        <v>LUMINARIAS</v>
      </c>
      <c r="C40" s="198">
        <f>Presupuesto!G119</f>
        <v>670255.19999999995</v>
      </c>
      <c r="D40" s="440">
        <f>C40/$C$42</f>
        <v>2.117997739982963E-2</v>
      </c>
      <c r="E40" s="199"/>
      <c r="F40" s="199"/>
      <c r="G40" s="199"/>
      <c r="H40" s="199"/>
      <c r="I40" s="199"/>
      <c r="J40" s="199"/>
      <c r="K40" s="199"/>
      <c r="L40" s="199"/>
      <c r="M40" s="199">
        <v>0.1</v>
      </c>
      <c r="N40" s="199">
        <v>0.1</v>
      </c>
      <c r="O40" s="199">
        <v>0.1</v>
      </c>
      <c r="P40" s="199">
        <v>0.1</v>
      </c>
      <c r="Q40" s="199">
        <v>0.15</v>
      </c>
      <c r="R40" s="199">
        <v>0.1</v>
      </c>
      <c r="S40" s="199">
        <v>0.1</v>
      </c>
      <c r="T40" s="199">
        <v>0.1</v>
      </c>
      <c r="U40" s="199">
        <v>0.1</v>
      </c>
      <c r="V40" s="199">
        <v>0.05</v>
      </c>
      <c r="W40" s="199">
        <v>0</v>
      </c>
      <c r="X40" s="435"/>
      <c r="Y40" s="200">
        <f>SUM(E40:W40)</f>
        <v>1</v>
      </c>
    </row>
    <row r="41" spans="1:25">
      <c r="A41" s="429"/>
      <c r="B41" s="197"/>
      <c r="C41" s="198"/>
      <c r="D41" s="440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435"/>
      <c r="Y41" s="200"/>
    </row>
    <row r="42" spans="1:25">
      <c r="C42" s="434">
        <f>SUM(C15:C41)</f>
        <v>31645699.489999995</v>
      </c>
      <c r="D42" s="441">
        <f>SUM(D15:D41)</f>
        <v>1.0000000000000002</v>
      </c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</row>
    <row r="43" spans="1:25"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</row>
    <row r="44" spans="1:25">
      <c r="B44" s="204" t="s">
        <v>317</v>
      </c>
      <c r="C44" s="205" t="s">
        <v>318</v>
      </c>
      <c r="D44" s="442"/>
      <c r="E44" s="206">
        <f t="shared" ref="E44:V44" si="2">SUMPRODUCT(Incidencia,E15:E41)</f>
        <v>2.0084025230690205E-2</v>
      </c>
      <c r="F44" s="206">
        <f t="shared" si="2"/>
        <v>2.0084025230690205E-2</v>
      </c>
      <c r="G44" s="206">
        <f t="shared" si="2"/>
        <v>2.8653815419265368E-2</v>
      </c>
      <c r="H44" s="206">
        <f t="shared" si="2"/>
        <v>4.7042742220642891E-2</v>
      </c>
      <c r="I44" s="206">
        <f t="shared" si="2"/>
        <v>5.1217573750018577E-2</v>
      </c>
      <c r="J44" s="206">
        <f t="shared" si="2"/>
        <v>6.3858373019644699E-2</v>
      </c>
      <c r="K44" s="206">
        <f t="shared" si="2"/>
        <v>6.7354152328771927E-2</v>
      </c>
      <c r="L44" s="206">
        <f t="shared" si="2"/>
        <v>8.1097588562103876E-2</v>
      </c>
      <c r="M44" s="206">
        <f t="shared" si="2"/>
        <v>8.4010778252511312E-2</v>
      </c>
      <c r="N44" s="206">
        <f t="shared" si="2"/>
        <v>8.6101607893388998E-2</v>
      </c>
      <c r="O44" s="206">
        <f t="shared" si="2"/>
        <v>9.0089392174784899E-2</v>
      </c>
      <c r="P44" s="206">
        <f t="shared" si="2"/>
        <v>8.575153830483398E-2</v>
      </c>
      <c r="Q44" s="206">
        <f t="shared" si="2"/>
        <v>7.4137069674865969E-2</v>
      </c>
      <c r="R44" s="206">
        <f t="shared" si="2"/>
        <v>7.1727060977662099E-2</v>
      </c>
      <c r="S44" s="206">
        <f t="shared" si="2"/>
        <v>5.6122292369022317E-2</v>
      </c>
      <c r="T44" s="206">
        <f t="shared" si="2"/>
        <v>4.5836329228821866E-2</v>
      </c>
      <c r="U44" s="206">
        <f t="shared" si="2"/>
        <v>2.09850426346193E-2</v>
      </c>
      <c r="V44" s="206">
        <f t="shared" si="2"/>
        <v>5.8465927276616526E-3</v>
      </c>
      <c r="W44" s="206">
        <f t="shared" ref="W44" si="3">SUMPRODUCT(Incidencia,W15:W41)</f>
        <v>0</v>
      </c>
      <c r="X44" s="436"/>
    </row>
    <row r="45" spans="1:25">
      <c r="B45" s="207"/>
      <c r="C45" s="208" t="s">
        <v>319</v>
      </c>
      <c r="D45" s="443">
        <v>0</v>
      </c>
      <c r="E45" s="209">
        <f>E44</f>
        <v>2.0084025230690205E-2</v>
      </c>
      <c r="F45" s="209">
        <f t="shared" ref="F45:M45" si="4">+E45+F44</f>
        <v>4.016805046138041E-2</v>
      </c>
      <c r="G45" s="209">
        <f t="shared" si="4"/>
        <v>6.8821865880645774E-2</v>
      </c>
      <c r="H45" s="209">
        <f t="shared" si="4"/>
        <v>0.11586460810128867</v>
      </c>
      <c r="I45" s="209">
        <f t="shared" si="4"/>
        <v>0.16708218185130724</v>
      </c>
      <c r="J45" s="209">
        <f t="shared" si="4"/>
        <v>0.23094055487095194</v>
      </c>
      <c r="K45" s="209">
        <f t="shared" si="4"/>
        <v>0.29829470719972384</v>
      </c>
      <c r="L45" s="209">
        <f t="shared" si="4"/>
        <v>0.3793922957618277</v>
      </c>
      <c r="M45" s="209">
        <f t="shared" si="4"/>
        <v>0.463403074014339</v>
      </c>
      <c r="N45" s="209">
        <f t="shared" ref="N45" si="5">+M45+N44</f>
        <v>0.54950468190772805</v>
      </c>
      <c r="O45" s="209">
        <f t="shared" ref="O45" si="6">+N45+O44</f>
        <v>0.63959407408251301</v>
      </c>
      <c r="P45" s="209">
        <f t="shared" ref="P45" si="7">+O45+P44</f>
        <v>0.72534561238734696</v>
      </c>
      <c r="Q45" s="209">
        <f t="shared" ref="Q45" si="8">+P45+Q44</f>
        <v>0.79948268206221296</v>
      </c>
      <c r="R45" s="209">
        <f t="shared" ref="R45" si="9">+Q45+R44</f>
        <v>0.87120974303987508</v>
      </c>
      <c r="S45" s="209">
        <f t="shared" ref="S45" si="10">+R45+S44</f>
        <v>0.92733203540889741</v>
      </c>
      <c r="T45" s="209">
        <f t="shared" ref="T45" si="11">+S45+T44</f>
        <v>0.97316836463771927</v>
      </c>
      <c r="U45" s="209">
        <f t="shared" ref="U45" si="12">+T45+U44</f>
        <v>0.99415340727233859</v>
      </c>
      <c r="V45" s="209">
        <f t="shared" ref="V45:W45" si="13">+U45+V44</f>
        <v>1.0000000000000002</v>
      </c>
      <c r="W45" s="209">
        <f t="shared" si="13"/>
        <v>1.0000000000000002</v>
      </c>
      <c r="X45" s="437"/>
    </row>
    <row r="46" spans="1:25">
      <c r="B46" s="204" t="s">
        <v>320</v>
      </c>
      <c r="C46" s="210" t="s">
        <v>318</v>
      </c>
      <c r="D46" s="442"/>
      <c r="E46" s="211">
        <f t="shared" ref="E46:M47" si="14">E44*$C$42</f>
        <v>635573.027</v>
      </c>
      <c r="F46" s="211">
        <f t="shared" si="14"/>
        <v>635573.027</v>
      </c>
      <c r="G46" s="211">
        <f t="shared" si="14"/>
        <v>906770.03200000001</v>
      </c>
      <c r="H46" s="211">
        <f t="shared" si="14"/>
        <v>1488700.4834999999</v>
      </c>
      <c r="I46" s="211">
        <f t="shared" si="14"/>
        <v>1620815.9475</v>
      </c>
      <c r="J46" s="211">
        <f t="shared" si="14"/>
        <v>2020842.8824999996</v>
      </c>
      <c r="K46" s="211">
        <f t="shared" si="14"/>
        <v>2131469.2639999995</v>
      </c>
      <c r="L46" s="211">
        <f t="shared" si="14"/>
        <v>2566389.9169999999</v>
      </c>
      <c r="M46" s="211">
        <f t="shared" si="14"/>
        <v>2658579.8424999998</v>
      </c>
      <c r="N46" s="211">
        <f t="shared" ref="N46:V46" si="15">N44*$C$42</f>
        <v>2724745.6089999997</v>
      </c>
      <c r="O46" s="211">
        <f t="shared" si="15"/>
        <v>2850941.8319999999</v>
      </c>
      <c r="P46" s="211">
        <f t="shared" si="15"/>
        <v>2713667.4119999995</v>
      </c>
      <c r="Q46" s="211">
        <f t="shared" si="15"/>
        <v>2346119.4279999998</v>
      </c>
      <c r="R46" s="211">
        <f t="shared" si="15"/>
        <v>2269853.017</v>
      </c>
      <c r="S46" s="211">
        <f t="shared" si="15"/>
        <v>1776029.199</v>
      </c>
      <c r="T46" s="211">
        <f t="shared" si="15"/>
        <v>1450522.7005</v>
      </c>
      <c r="U46" s="211">
        <f t="shared" si="15"/>
        <v>664086.35300000012</v>
      </c>
      <c r="V46" s="211">
        <f t="shared" si="15"/>
        <v>185019.51650000003</v>
      </c>
      <c r="W46" s="211">
        <f t="shared" ref="W46" si="16">W44*$C$42</f>
        <v>0</v>
      </c>
      <c r="X46" s="438"/>
    </row>
    <row r="47" spans="1:25">
      <c r="B47" s="207"/>
      <c r="C47" s="212" t="s">
        <v>319</v>
      </c>
      <c r="D47" s="444"/>
      <c r="E47" s="211">
        <f t="shared" si="14"/>
        <v>635573.027</v>
      </c>
      <c r="F47" s="211">
        <f t="shared" si="14"/>
        <v>1271146.054</v>
      </c>
      <c r="G47" s="211">
        <f t="shared" si="14"/>
        <v>2177916.0860000001</v>
      </c>
      <c r="H47" s="211">
        <f t="shared" si="14"/>
        <v>3666616.5694999998</v>
      </c>
      <c r="I47" s="211">
        <f t="shared" si="14"/>
        <v>5287432.517</v>
      </c>
      <c r="J47" s="211">
        <f t="shared" si="14"/>
        <v>7308275.3994999994</v>
      </c>
      <c r="K47" s="211">
        <f t="shared" si="14"/>
        <v>9439744.6634999979</v>
      </c>
      <c r="L47" s="211">
        <f t="shared" si="14"/>
        <v>12006134.580499997</v>
      </c>
      <c r="M47" s="211">
        <f t="shared" si="14"/>
        <v>14664714.422999997</v>
      </c>
      <c r="N47" s="211">
        <f t="shared" ref="N47:V47" si="17">N45*$C$42</f>
        <v>17389460.031999998</v>
      </c>
      <c r="O47" s="211">
        <f t="shared" si="17"/>
        <v>20240401.864</v>
      </c>
      <c r="P47" s="211">
        <f t="shared" si="17"/>
        <v>22954069.276000001</v>
      </c>
      <c r="Q47" s="211">
        <f t="shared" si="17"/>
        <v>25300188.704</v>
      </c>
      <c r="R47" s="211">
        <f t="shared" si="17"/>
        <v>27570041.721000001</v>
      </c>
      <c r="S47" s="211">
        <f t="shared" si="17"/>
        <v>29346070.920000002</v>
      </c>
      <c r="T47" s="211">
        <f t="shared" si="17"/>
        <v>30796593.620500002</v>
      </c>
      <c r="U47" s="211">
        <f t="shared" si="17"/>
        <v>31460679.973500002</v>
      </c>
      <c r="V47" s="211">
        <f t="shared" si="17"/>
        <v>31645699.490000002</v>
      </c>
      <c r="W47" s="211">
        <f t="shared" ref="W47" si="18">W45*$C$42</f>
        <v>31645699.490000002</v>
      </c>
      <c r="X47" s="438"/>
    </row>
    <row r="51" spans="3:24">
      <c r="C51" s="213"/>
      <c r="D51" s="213" t="s">
        <v>165</v>
      </c>
      <c r="E51" s="214"/>
      <c r="F51" s="214"/>
      <c r="G51" s="214"/>
      <c r="H51" s="215"/>
      <c r="I51" s="213" t="s">
        <v>166</v>
      </c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</row>
    <row r="52" spans="3:24">
      <c r="C52" s="213"/>
      <c r="D52" s="213" t="s">
        <v>167</v>
      </c>
      <c r="E52" s="214"/>
      <c r="F52" s="214"/>
      <c r="G52" s="214"/>
      <c r="H52" s="215"/>
      <c r="I52" s="213" t="s">
        <v>168</v>
      </c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</row>
    <row r="53" spans="3:24">
      <c r="C53" s="213"/>
      <c r="D53" s="213" t="s">
        <v>169</v>
      </c>
      <c r="E53" s="214"/>
      <c r="F53" s="214"/>
      <c r="G53" s="214"/>
      <c r="H53" s="215"/>
      <c r="I53" s="213" t="s">
        <v>170</v>
      </c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</row>
    <row r="54" spans="3:24">
      <c r="H54" s="196"/>
      <c r="I54" s="196"/>
      <c r="J54" s="196"/>
    </row>
  </sheetData>
  <mergeCells count="12">
    <mergeCell ref="A12:A13"/>
    <mergeCell ref="B12:B13"/>
    <mergeCell ref="D12:D13"/>
    <mergeCell ref="E12:W12"/>
    <mergeCell ref="A10:W10"/>
    <mergeCell ref="B37:C37"/>
    <mergeCell ref="C12:C13"/>
    <mergeCell ref="B14:C14"/>
    <mergeCell ref="B24:C24"/>
    <mergeCell ref="B29:C29"/>
    <mergeCell ref="B32:C32"/>
    <mergeCell ref="B35:C35"/>
  </mergeCells>
  <conditionalFormatting sqref="E14:X41">
    <cfRule type="cellIs" dxfId="0" priority="2" stopIfTrue="1" operator="equal">
      <formula>0</formula>
    </cfRule>
  </conditionalFormatting>
  <printOptions horizontalCentered="1" verticalCentered="1"/>
  <pageMargins left="3.937007874015748E-2" right="3.937007874015748E-2" top="0.94488188976377963" bottom="0.74803149606299213" header="0.31496062992125984" footer="0.31496062992125984"/>
  <pageSetup paperSize="8" scale="67" orientation="landscape" r:id="rId1"/>
  <headerFooter alignWithMargins="0"/>
  <colBreaks count="1" manualBreakCount="1">
    <brk id="2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M62"/>
  <sheetViews>
    <sheetView view="pageBreakPreview" topLeftCell="A32" zoomScaleSheetLayoutView="100" workbookViewId="0">
      <selection activeCell="F25" sqref="F25"/>
    </sheetView>
  </sheetViews>
  <sheetFormatPr baseColWidth="10" defaultRowHeight="12.75"/>
  <cols>
    <col min="1" max="1" width="6.7109375" style="532" customWidth="1"/>
    <col min="2" max="2" width="58.5703125" customWidth="1"/>
    <col min="3" max="3" width="9.28515625" customWidth="1"/>
    <col min="4" max="4" width="19.7109375" customWidth="1"/>
    <col min="5" max="5" width="4.85546875" customWidth="1"/>
    <col min="6" max="6" width="14.85546875" customWidth="1"/>
    <col min="7" max="7" width="7.140625" customWidth="1"/>
    <col min="255" max="255" width="6.7109375" customWidth="1"/>
    <col min="256" max="256" width="30.5703125" customWidth="1"/>
    <col min="257" max="257" width="12.28515625" customWidth="1"/>
    <col min="258" max="259" width="21" customWidth="1"/>
    <col min="260" max="260" width="21.85546875" customWidth="1"/>
    <col min="261" max="261" width="4.85546875" customWidth="1"/>
    <col min="262" max="262" width="14.85546875" customWidth="1"/>
    <col min="263" max="263" width="7.140625" customWidth="1"/>
    <col min="511" max="511" width="6.7109375" customWidth="1"/>
    <col min="512" max="512" width="30.5703125" customWidth="1"/>
    <col min="513" max="513" width="12.28515625" customWidth="1"/>
    <col min="514" max="515" width="21" customWidth="1"/>
    <col min="516" max="516" width="21.85546875" customWidth="1"/>
    <col min="517" max="517" width="4.85546875" customWidth="1"/>
    <col min="518" max="518" width="14.85546875" customWidth="1"/>
    <col min="519" max="519" width="7.140625" customWidth="1"/>
    <col min="767" max="767" width="6.7109375" customWidth="1"/>
    <col min="768" max="768" width="30.5703125" customWidth="1"/>
    <col min="769" max="769" width="12.28515625" customWidth="1"/>
    <col min="770" max="771" width="21" customWidth="1"/>
    <col min="772" max="772" width="21.85546875" customWidth="1"/>
    <col min="773" max="773" width="4.85546875" customWidth="1"/>
    <col min="774" max="774" width="14.85546875" customWidth="1"/>
    <col min="775" max="775" width="7.140625" customWidth="1"/>
    <col min="1023" max="1023" width="6.7109375" customWidth="1"/>
    <col min="1024" max="1024" width="30.5703125" customWidth="1"/>
    <col min="1025" max="1025" width="12.28515625" customWidth="1"/>
    <col min="1026" max="1027" width="21" customWidth="1"/>
    <col min="1028" max="1028" width="21.85546875" customWidth="1"/>
    <col min="1029" max="1029" width="4.85546875" customWidth="1"/>
    <col min="1030" max="1030" width="14.85546875" customWidth="1"/>
    <col min="1031" max="1031" width="7.140625" customWidth="1"/>
    <col min="1279" max="1279" width="6.7109375" customWidth="1"/>
    <col min="1280" max="1280" width="30.5703125" customWidth="1"/>
    <col min="1281" max="1281" width="12.28515625" customWidth="1"/>
    <col min="1282" max="1283" width="21" customWidth="1"/>
    <col min="1284" max="1284" width="21.85546875" customWidth="1"/>
    <col min="1285" max="1285" width="4.85546875" customWidth="1"/>
    <col min="1286" max="1286" width="14.85546875" customWidth="1"/>
    <col min="1287" max="1287" width="7.140625" customWidth="1"/>
    <col min="1535" max="1535" width="6.7109375" customWidth="1"/>
    <col min="1536" max="1536" width="30.5703125" customWidth="1"/>
    <col min="1537" max="1537" width="12.28515625" customWidth="1"/>
    <col min="1538" max="1539" width="21" customWidth="1"/>
    <col min="1540" max="1540" width="21.85546875" customWidth="1"/>
    <col min="1541" max="1541" width="4.85546875" customWidth="1"/>
    <col min="1542" max="1542" width="14.85546875" customWidth="1"/>
    <col min="1543" max="1543" width="7.140625" customWidth="1"/>
    <col min="1791" max="1791" width="6.7109375" customWidth="1"/>
    <col min="1792" max="1792" width="30.5703125" customWidth="1"/>
    <col min="1793" max="1793" width="12.28515625" customWidth="1"/>
    <col min="1794" max="1795" width="21" customWidth="1"/>
    <col min="1796" max="1796" width="21.85546875" customWidth="1"/>
    <col min="1797" max="1797" width="4.85546875" customWidth="1"/>
    <col min="1798" max="1798" width="14.85546875" customWidth="1"/>
    <col min="1799" max="1799" width="7.140625" customWidth="1"/>
    <col min="2047" max="2047" width="6.7109375" customWidth="1"/>
    <col min="2048" max="2048" width="30.5703125" customWidth="1"/>
    <col min="2049" max="2049" width="12.28515625" customWidth="1"/>
    <col min="2050" max="2051" width="21" customWidth="1"/>
    <col min="2052" max="2052" width="21.85546875" customWidth="1"/>
    <col min="2053" max="2053" width="4.85546875" customWidth="1"/>
    <col min="2054" max="2054" width="14.85546875" customWidth="1"/>
    <col min="2055" max="2055" width="7.140625" customWidth="1"/>
    <col min="2303" max="2303" width="6.7109375" customWidth="1"/>
    <col min="2304" max="2304" width="30.5703125" customWidth="1"/>
    <col min="2305" max="2305" width="12.28515625" customWidth="1"/>
    <col min="2306" max="2307" width="21" customWidth="1"/>
    <col min="2308" max="2308" width="21.85546875" customWidth="1"/>
    <col min="2309" max="2309" width="4.85546875" customWidth="1"/>
    <col min="2310" max="2310" width="14.85546875" customWidth="1"/>
    <col min="2311" max="2311" width="7.140625" customWidth="1"/>
    <col min="2559" max="2559" width="6.7109375" customWidth="1"/>
    <col min="2560" max="2560" width="30.5703125" customWidth="1"/>
    <col min="2561" max="2561" width="12.28515625" customWidth="1"/>
    <col min="2562" max="2563" width="21" customWidth="1"/>
    <col min="2564" max="2564" width="21.85546875" customWidth="1"/>
    <col min="2565" max="2565" width="4.85546875" customWidth="1"/>
    <col min="2566" max="2566" width="14.85546875" customWidth="1"/>
    <col min="2567" max="2567" width="7.140625" customWidth="1"/>
    <col min="2815" max="2815" width="6.7109375" customWidth="1"/>
    <col min="2816" max="2816" width="30.5703125" customWidth="1"/>
    <col min="2817" max="2817" width="12.28515625" customWidth="1"/>
    <col min="2818" max="2819" width="21" customWidth="1"/>
    <col min="2820" max="2820" width="21.85546875" customWidth="1"/>
    <col min="2821" max="2821" width="4.85546875" customWidth="1"/>
    <col min="2822" max="2822" width="14.85546875" customWidth="1"/>
    <col min="2823" max="2823" width="7.140625" customWidth="1"/>
    <col min="3071" max="3071" width="6.7109375" customWidth="1"/>
    <col min="3072" max="3072" width="30.5703125" customWidth="1"/>
    <col min="3073" max="3073" width="12.28515625" customWidth="1"/>
    <col min="3074" max="3075" width="21" customWidth="1"/>
    <col min="3076" max="3076" width="21.85546875" customWidth="1"/>
    <col min="3077" max="3077" width="4.85546875" customWidth="1"/>
    <col min="3078" max="3078" width="14.85546875" customWidth="1"/>
    <col min="3079" max="3079" width="7.140625" customWidth="1"/>
    <col min="3327" max="3327" width="6.7109375" customWidth="1"/>
    <col min="3328" max="3328" width="30.5703125" customWidth="1"/>
    <col min="3329" max="3329" width="12.28515625" customWidth="1"/>
    <col min="3330" max="3331" width="21" customWidth="1"/>
    <col min="3332" max="3332" width="21.85546875" customWidth="1"/>
    <col min="3333" max="3333" width="4.85546875" customWidth="1"/>
    <col min="3334" max="3334" width="14.85546875" customWidth="1"/>
    <col min="3335" max="3335" width="7.140625" customWidth="1"/>
    <col min="3583" max="3583" width="6.7109375" customWidth="1"/>
    <col min="3584" max="3584" width="30.5703125" customWidth="1"/>
    <col min="3585" max="3585" width="12.28515625" customWidth="1"/>
    <col min="3586" max="3587" width="21" customWidth="1"/>
    <col min="3588" max="3588" width="21.85546875" customWidth="1"/>
    <col min="3589" max="3589" width="4.85546875" customWidth="1"/>
    <col min="3590" max="3590" width="14.85546875" customWidth="1"/>
    <col min="3591" max="3591" width="7.140625" customWidth="1"/>
    <col min="3839" max="3839" width="6.7109375" customWidth="1"/>
    <col min="3840" max="3840" width="30.5703125" customWidth="1"/>
    <col min="3841" max="3841" width="12.28515625" customWidth="1"/>
    <col min="3842" max="3843" width="21" customWidth="1"/>
    <col min="3844" max="3844" width="21.85546875" customWidth="1"/>
    <col min="3845" max="3845" width="4.85546875" customWidth="1"/>
    <col min="3846" max="3846" width="14.85546875" customWidth="1"/>
    <col min="3847" max="3847" width="7.140625" customWidth="1"/>
    <col min="4095" max="4095" width="6.7109375" customWidth="1"/>
    <col min="4096" max="4096" width="30.5703125" customWidth="1"/>
    <col min="4097" max="4097" width="12.28515625" customWidth="1"/>
    <col min="4098" max="4099" width="21" customWidth="1"/>
    <col min="4100" max="4100" width="21.85546875" customWidth="1"/>
    <col min="4101" max="4101" width="4.85546875" customWidth="1"/>
    <col min="4102" max="4102" width="14.85546875" customWidth="1"/>
    <col min="4103" max="4103" width="7.140625" customWidth="1"/>
    <col min="4351" max="4351" width="6.7109375" customWidth="1"/>
    <col min="4352" max="4352" width="30.5703125" customWidth="1"/>
    <col min="4353" max="4353" width="12.28515625" customWidth="1"/>
    <col min="4354" max="4355" width="21" customWidth="1"/>
    <col min="4356" max="4356" width="21.85546875" customWidth="1"/>
    <col min="4357" max="4357" width="4.85546875" customWidth="1"/>
    <col min="4358" max="4358" width="14.85546875" customWidth="1"/>
    <col min="4359" max="4359" width="7.140625" customWidth="1"/>
    <col min="4607" max="4607" width="6.7109375" customWidth="1"/>
    <col min="4608" max="4608" width="30.5703125" customWidth="1"/>
    <col min="4609" max="4609" width="12.28515625" customWidth="1"/>
    <col min="4610" max="4611" width="21" customWidth="1"/>
    <col min="4612" max="4612" width="21.85546875" customWidth="1"/>
    <col min="4613" max="4613" width="4.85546875" customWidth="1"/>
    <col min="4614" max="4614" width="14.85546875" customWidth="1"/>
    <col min="4615" max="4615" width="7.140625" customWidth="1"/>
    <col min="4863" max="4863" width="6.7109375" customWidth="1"/>
    <col min="4864" max="4864" width="30.5703125" customWidth="1"/>
    <col min="4865" max="4865" width="12.28515625" customWidth="1"/>
    <col min="4866" max="4867" width="21" customWidth="1"/>
    <col min="4868" max="4868" width="21.85546875" customWidth="1"/>
    <col min="4869" max="4869" width="4.85546875" customWidth="1"/>
    <col min="4870" max="4870" width="14.85546875" customWidth="1"/>
    <col min="4871" max="4871" width="7.140625" customWidth="1"/>
    <col min="5119" max="5119" width="6.7109375" customWidth="1"/>
    <col min="5120" max="5120" width="30.5703125" customWidth="1"/>
    <col min="5121" max="5121" width="12.28515625" customWidth="1"/>
    <col min="5122" max="5123" width="21" customWidth="1"/>
    <col min="5124" max="5124" width="21.85546875" customWidth="1"/>
    <col min="5125" max="5125" width="4.85546875" customWidth="1"/>
    <col min="5126" max="5126" width="14.85546875" customWidth="1"/>
    <col min="5127" max="5127" width="7.140625" customWidth="1"/>
    <col min="5375" max="5375" width="6.7109375" customWidth="1"/>
    <col min="5376" max="5376" width="30.5703125" customWidth="1"/>
    <col min="5377" max="5377" width="12.28515625" customWidth="1"/>
    <col min="5378" max="5379" width="21" customWidth="1"/>
    <col min="5380" max="5380" width="21.85546875" customWidth="1"/>
    <col min="5381" max="5381" width="4.85546875" customWidth="1"/>
    <col min="5382" max="5382" width="14.85546875" customWidth="1"/>
    <col min="5383" max="5383" width="7.140625" customWidth="1"/>
    <col min="5631" max="5631" width="6.7109375" customWidth="1"/>
    <col min="5632" max="5632" width="30.5703125" customWidth="1"/>
    <col min="5633" max="5633" width="12.28515625" customWidth="1"/>
    <col min="5634" max="5635" width="21" customWidth="1"/>
    <col min="5636" max="5636" width="21.85546875" customWidth="1"/>
    <col min="5637" max="5637" width="4.85546875" customWidth="1"/>
    <col min="5638" max="5638" width="14.85546875" customWidth="1"/>
    <col min="5639" max="5639" width="7.140625" customWidth="1"/>
    <col min="5887" max="5887" width="6.7109375" customWidth="1"/>
    <col min="5888" max="5888" width="30.5703125" customWidth="1"/>
    <col min="5889" max="5889" width="12.28515625" customWidth="1"/>
    <col min="5890" max="5891" width="21" customWidth="1"/>
    <col min="5892" max="5892" width="21.85546875" customWidth="1"/>
    <col min="5893" max="5893" width="4.85546875" customWidth="1"/>
    <col min="5894" max="5894" width="14.85546875" customWidth="1"/>
    <col min="5895" max="5895" width="7.140625" customWidth="1"/>
    <col min="6143" max="6143" width="6.7109375" customWidth="1"/>
    <col min="6144" max="6144" width="30.5703125" customWidth="1"/>
    <col min="6145" max="6145" width="12.28515625" customWidth="1"/>
    <col min="6146" max="6147" width="21" customWidth="1"/>
    <col min="6148" max="6148" width="21.85546875" customWidth="1"/>
    <col min="6149" max="6149" width="4.85546875" customWidth="1"/>
    <col min="6150" max="6150" width="14.85546875" customWidth="1"/>
    <col min="6151" max="6151" width="7.140625" customWidth="1"/>
    <col min="6399" max="6399" width="6.7109375" customWidth="1"/>
    <col min="6400" max="6400" width="30.5703125" customWidth="1"/>
    <col min="6401" max="6401" width="12.28515625" customWidth="1"/>
    <col min="6402" max="6403" width="21" customWidth="1"/>
    <col min="6404" max="6404" width="21.85546875" customWidth="1"/>
    <col min="6405" max="6405" width="4.85546875" customWidth="1"/>
    <col min="6406" max="6406" width="14.85546875" customWidth="1"/>
    <col min="6407" max="6407" width="7.140625" customWidth="1"/>
    <col min="6655" max="6655" width="6.7109375" customWidth="1"/>
    <col min="6656" max="6656" width="30.5703125" customWidth="1"/>
    <col min="6657" max="6657" width="12.28515625" customWidth="1"/>
    <col min="6658" max="6659" width="21" customWidth="1"/>
    <col min="6660" max="6660" width="21.85546875" customWidth="1"/>
    <col min="6661" max="6661" width="4.85546875" customWidth="1"/>
    <col min="6662" max="6662" width="14.85546875" customWidth="1"/>
    <col min="6663" max="6663" width="7.140625" customWidth="1"/>
    <col min="6911" max="6911" width="6.7109375" customWidth="1"/>
    <col min="6912" max="6912" width="30.5703125" customWidth="1"/>
    <col min="6913" max="6913" width="12.28515625" customWidth="1"/>
    <col min="6914" max="6915" width="21" customWidth="1"/>
    <col min="6916" max="6916" width="21.85546875" customWidth="1"/>
    <col min="6917" max="6917" width="4.85546875" customWidth="1"/>
    <col min="6918" max="6918" width="14.85546875" customWidth="1"/>
    <col min="6919" max="6919" width="7.140625" customWidth="1"/>
    <col min="7167" max="7167" width="6.7109375" customWidth="1"/>
    <col min="7168" max="7168" width="30.5703125" customWidth="1"/>
    <col min="7169" max="7169" width="12.28515625" customWidth="1"/>
    <col min="7170" max="7171" width="21" customWidth="1"/>
    <col min="7172" max="7172" width="21.85546875" customWidth="1"/>
    <col min="7173" max="7173" width="4.85546875" customWidth="1"/>
    <col min="7174" max="7174" width="14.85546875" customWidth="1"/>
    <col min="7175" max="7175" width="7.140625" customWidth="1"/>
    <col min="7423" max="7423" width="6.7109375" customWidth="1"/>
    <col min="7424" max="7424" width="30.5703125" customWidth="1"/>
    <col min="7425" max="7425" width="12.28515625" customWidth="1"/>
    <col min="7426" max="7427" width="21" customWidth="1"/>
    <col min="7428" max="7428" width="21.85546875" customWidth="1"/>
    <col min="7429" max="7429" width="4.85546875" customWidth="1"/>
    <col min="7430" max="7430" width="14.85546875" customWidth="1"/>
    <col min="7431" max="7431" width="7.140625" customWidth="1"/>
    <col min="7679" max="7679" width="6.7109375" customWidth="1"/>
    <col min="7680" max="7680" width="30.5703125" customWidth="1"/>
    <col min="7681" max="7681" width="12.28515625" customWidth="1"/>
    <col min="7682" max="7683" width="21" customWidth="1"/>
    <col min="7684" max="7684" width="21.85546875" customWidth="1"/>
    <col min="7685" max="7685" width="4.85546875" customWidth="1"/>
    <col min="7686" max="7686" width="14.85546875" customWidth="1"/>
    <col min="7687" max="7687" width="7.140625" customWidth="1"/>
    <col min="7935" max="7935" width="6.7109375" customWidth="1"/>
    <col min="7936" max="7936" width="30.5703125" customWidth="1"/>
    <col min="7937" max="7937" width="12.28515625" customWidth="1"/>
    <col min="7938" max="7939" width="21" customWidth="1"/>
    <col min="7940" max="7940" width="21.85546875" customWidth="1"/>
    <col min="7941" max="7941" width="4.85546875" customWidth="1"/>
    <col min="7942" max="7942" width="14.85546875" customWidth="1"/>
    <col min="7943" max="7943" width="7.140625" customWidth="1"/>
    <col min="8191" max="8191" width="6.7109375" customWidth="1"/>
    <col min="8192" max="8192" width="30.5703125" customWidth="1"/>
    <col min="8193" max="8193" width="12.28515625" customWidth="1"/>
    <col min="8194" max="8195" width="21" customWidth="1"/>
    <col min="8196" max="8196" width="21.85546875" customWidth="1"/>
    <col min="8197" max="8197" width="4.85546875" customWidth="1"/>
    <col min="8198" max="8198" width="14.85546875" customWidth="1"/>
    <col min="8199" max="8199" width="7.140625" customWidth="1"/>
    <col min="8447" max="8447" width="6.7109375" customWidth="1"/>
    <col min="8448" max="8448" width="30.5703125" customWidth="1"/>
    <col min="8449" max="8449" width="12.28515625" customWidth="1"/>
    <col min="8450" max="8451" width="21" customWidth="1"/>
    <col min="8452" max="8452" width="21.85546875" customWidth="1"/>
    <col min="8453" max="8453" width="4.85546875" customWidth="1"/>
    <col min="8454" max="8454" width="14.85546875" customWidth="1"/>
    <col min="8455" max="8455" width="7.140625" customWidth="1"/>
    <col min="8703" max="8703" width="6.7109375" customWidth="1"/>
    <col min="8704" max="8704" width="30.5703125" customWidth="1"/>
    <col min="8705" max="8705" width="12.28515625" customWidth="1"/>
    <col min="8706" max="8707" width="21" customWidth="1"/>
    <col min="8708" max="8708" width="21.85546875" customWidth="1"/>
    <col min="8709" max="8709" width="4.85546875" customWidth="1"/>
    <col min="8710" max="8710" width="14.85546875" customWidth="1"/>
    <col min="8711" max="8711" width="7.140625" customWidth="1"/>
    <col min="8959" max="8959" width="6.7109375" customWidth="1"/>
    <col min="8960" max="8960" width="30.5703125" customWidth="1"/>
    <col min="8961" max="8961" width="12.28515625" customWidth="1"/>
    <col min="8962" max="8963" width="21" customWidth="1"/>
    <col min="8964" max="8964" width="21.85546875" customWidth="1"/>
    <col min="8965" max="8965" width="4.85546875" customWidth="1"/>
    <col min="8966" max="8966" width="14.85546875" customWidth="1"/>
    <col min="8967" max="8967" width="7.140625" customWidth="1"/>
    <col min="9215" max="9215" width="6.7109375" customWidth="1"/>
    <col min="9216" max="9216" width="30.5703125" customWidth="1"/>
    <col min="9217" max="9217" width="12.28515625" customWidth="1"/>
    <col min="9218" max="9219" width="21" customWidth="1"/>
    <col min="9220" max="9220" width="21.85546875" customWidth="1"/>
    <col min="9221" max="9221" width="4.85546875" customWidth="1"/>
    <col min="9222" max="9222" width="14.85546875" customWidth="1"/>
    <col min="9223" max="9223" width="7.140625" customWidth="1"/>
    <col min="9471" max="9471" width="6.7109375" customWidth="1"/>
    <col min="9472" max="9472" width="30.5703125" customWidth="1"/>
    <col min="9473" max="9473" width="12.28515625" customWidth="1"/>
    <col min="9474" max="9475" width="21" customWidth="1"/>
    <col min="9476" max="9476" width="21.85546875" customWidth="1"/>
    <col min="9477" max="9477" width="4.85546875" customWidth="1"/>
    <col min="9478" max="9478" width="14.85546875" customWidth="1"/>
    <col min="9479" max="9479" width="7.140625" customWidth="1"/>
    <col min="9727" max="9727" width="6.7109375" customWidth="1"/>
    <col min="9728" max="9728" width="30.5703125" customWidth="1"/>
    <col min="9729" max="9729" width="12.28515625" customWidth="1"/>
    <col min="9730" max="9731" width="21" customWidth="1"/>
    <col min="9732" max="9732" width="21.85546875" customWidth="1"/>
    <col min="9733" max="9733" width="4.85546875" customWidth="1"/>
    <col min="9734" max="9734" width="14.85546875" customWidth="1"/>
    <col min="9735" max="9735" width="7.140625" customWidth="1"/>
    <col min="9983" max="9983" width="6.7109375" customWidth="1"/>
    <col min="9984" max="9984" width="30.5703125" customWidth="1"/>
    <col min="9985" max="9985" width="12.28515625" customWidth="1"/>
    <col min="9986" max="9987" width="21" customWidth="1"/>
    <col min="9988" max="9988" width="21.85546875" customWidth="1"/>
    <col min="9989" max="9989" width="4.85546875" customWidth="1"/>
    <col min="9990" max="9990" width="14.85546875" customWidth="1"/>
    <col min="9991" max="9991" width="7.140625" customWidth="1"/>
    <col min="10239" max="10239" width="6.7109375" customWidth="1"/>
    <col min="10240" max="10240" width="30.5703125" customWidth="1"/>
    <col min="10241" max="10241" width="12.28515625" customWidth="1"/>
    <col min="10242" max="10243" width="21" customWidth="1"/>
    <col min="10244" max="10244" width="21.85546875" customWidth="1"/>
    <col min="10245" max="10245" width="4.85546875" customWidth="1"/>
    <col min="10246" max="10246" width="14.85546875" customWidth="1"/>
    <col min="10247" max="10247" width="7.140625" customWidth="1"/>
    <col min="10495" max="10495" width="6.7109375" customWidth="1"/>
    <col min="10496" max="10496" width="30.5703125" customWidth="1"/>
    <col min="10497" max="10497" width="12.28515625" customWidth="1"/>
    <col min="10498" max="10499" width="21" customWidth="1"/>
    <col min="10500" max="10500" width="21.85546875" customWidth="1"/>
    <col min="10501" max="10501" width="4.85546875" customWidth="1"/>
    <col min="10502" max="10502" width="14.85546875" customWidth="1"/>
    <col min="10503" max="10503" width="7.140625" customWidth="1"/>
    <col min="10751" max="10751" width="6.7109375" customWidth="1"/>
    <col min="10752" max="10752" width="30.5703125" customWidth="1"/>
    <col min="10753" max="10753" width="12.28515625" customWidth="1"/>
    <col min="10754" max="10755" width="21" customWidth="1"/>
    <col min="10756" max="10756" width="21.85546875" customWidth="1"/>
    <col min="10757" max="10757" width="4.85546875" customWidth="1"/>
    <col min="10758" max="10758" width="14.85546875" customWidth="1"/>
    <col min="10759" max="10759" width="7.140625" customWidth="1"/>
    <col min="11007" max="11007" width="6.7109375" customWidth="1"/>
    <col min="11008" max="11008" width="30.5703125" customWidth="1"/>
    <col min="11009" max="11009" width="12.28515625" customWidth="1"/>
    <col min="11010" max="11011" width="21" customWidth="1"/>
    <col min="11012" max="11012" width="21.85546875" customWidth="1"/>
    <col min="11013" max="11013" width="4.85546875" customWidth="1"/>
    <col min="11014" max="11014" width="14.85546875" customWidth="1"/>
    <col min="11015" max="11015" width="7.140625" customWidth="1"/>
    <col min="11263" max="11263" width="6.7109375" customWidth="1"/>
    <col min="11264" max="11264" width="30.5703125" customWidth="1"/>
    <col min="11265" max="11265" width="12.28515625" customWidth="1"/>
    <col min="11266" max="11267" width="21" customWidth="1"/>
    <col min="11268" max="11268" width="21.85546875" customWidth="1"/>
    <col min="11269" max="11269" width="4.85546875" customWidth="1"/>
    <col min="11270" max="11270" width="14.85546875" customWidth="1"/>
    <col min="11271" max="11271" width="7.140625" customWidth="1"/>
    <col min="11519" max="11519" width="6.7109375" customWidth="1"/>
    <col min="11520" max="11520" width="30.5703125" customWidth="1"/>
    <col min="11521" max="11521" width="12.28515625" customWidth="1"/>
    <col min="11522" max="11523" width="21" customWidth="1"/>
    <col min="11524" max="11524" width="21.85546875" customWidth="1"/>
    <col min="11525" max="11525" width="4.85546875" customWidth="1"/>
    <col min="11526" max="11526" width="14.85546875" customWidth="1"/>
    <col min="11527" max="11527" width="7.140625" customWidth="1"/>
    <col min="11775" max="11775" width="6.7109375" customWidth="1"/>
    <col min="11776" max="11776" width="30.5703125" customWidth="1"/>
    <col min="11777" max="11777" width="12.28515625" customWidth="1"/>
    <col min="11778" max="11779" width="21" customWidth="1"/>
    <col min="11780" max="11780" width="21.85546875" customWidth="1"/>
    <col min="11781" max="11781" width="4.85546875" customWidth="1"/>
    <col min="11782" max="11782" width="14.85546875" customWidth="1"/>
    <col min="11783" max="11783" width="7.140625" customWidth="1"/>
    <col min="12031" max="12031" width="6.7109375" customWidth="1"/>
    <col min="12032" max="12032" width="30.5703125" customWidth="1"/>
    <col min="12033" max="12033" width="12.28515625" customWidth="1"/>
    <col min="12034" max="12035" width="21" customWidth="1"/>
    <col min="12036" max="12036" width="21.85546875" customWidth="1"/>
    <col min="12037" max="12037" width="4.85546875" customWidth="1"/>
    <col min="12038" max="12038" width="14.85546875" customWidth="1"/>
    <col min="12039" max="12039" width="7.140625" customWidth="1"/>
    <col min="12287" max="12287" width="6.7109375" customWidth="1"/>
    <col min="12288" max="12288" width="30.5703125" customWidth="1"/>
    <col min="12289" max="12289" width="12.28515625" customWidth="1"/>
    <col min="12290" max="12291" width="21" customWidth="1"/>
    <col min="12292" max="12292" width="21.85546875" customWidth="1"/>
    <col min="12293" max="12293" width="4.85546875" customWidth="1"/>
    <col min="12294" max="12294" width="14.85546875" customWidth="1"/>
    <col min="12295" max="12295" width="7.140625" customWidth="1"/>
    <col min="12543" max="12543" width="6.7109375" customWidth="1"/>
    <col min="12544" max="12544" width="30.5703125" customWidth="1"/>
    <col min="12545" max="12545" width="12.28515625" customWidth="1"/>
    <col min="12546" max="12547" width="21" customWidth="1"/>
    <col min="12548" max="12548" width="21.85546875" customWidth="1"/>
    <col min="12549" max="12549" width="4.85546875" customWidth="1"/>
    <col min="12550" max="12550" width="14.85546875" customWidth="1"/>
    <col min="12551" max="12551" width="7.140625" customWidth="1"/>
    <col min="12799" max="12799" width="6.7109375" customWidth="1"/>
    <col min="12800" max="12800" width="30.5703125" customWidth="1"/>
    <col min="12801" max="12801" width="12.28515625" customWidth="1"/>
    <col min="12802" max="12803" width="21" customWidth="1"/>
    <col min="12804" max="12804" width="21.85546875" customWidth="1"/>
    <col min="12805" max="12805" width="4.85546875" customWidth="1"/>
    <col min="12806" max="12806" width="14.85546875" customWidth="1"/>
    <col min="12807" max="12807" width="7.140625" customWidth="1"/>
    <col min="13055" max="13055" width="6.7109375" customWidth="1"/>
    <col min="13056" max="13056" width="30.5703125" customWidth="1"/>
    <col min="13057" max="13057" width="12.28515625" customWidth="1"/>
    <col min="13058" max="13059" width="21" customWidth="1"/>
    <col min="13060" max="13060" width="21.85546875" customWidth="1"/>
    <col min="13061" max="13061" width="4.85546875" customWidth="1"/>
    <col min="13062" max="13062" width="14.85546875" customWidth="1"/>
    <col min="13063" max="13063" width="7.140625" customWidth="1"/>
    <col min="13311" max="13311" width="6.7109375" customWidth="1"/>
    <col min="13312" max="13312" width="30.5703125" customWidth="1"/>
    <col min="13313" max="13313" width="12.28515625" customWidth="1"/>
    <col min="13314" max="13315" width="21" customWidth="1"/>
    <col min="13316" max="13316" width="21.85546875" customWidth="1"/>
    <col min="13317" max="13317" width="4.85546875" customWidth="1"/>
    <col min="13318" max="13318" width="14.85546875" customWidth="1"/>
    <col min="13319" max="13319" width="7.140625" customWidth="1"/>
    <col min="13567" max="13567" width="6.7109375" customWidth="1"/>
    <col min="13568" max="13568" width="30.5703125" customWidth="1"/>
    <col min="13569" max="13569" width="12.28515625" customWidth="1"/>
    <col min="13570" max="13571" width="21" customWidth="1"/>
    <col min="13572" max="13572" width="21.85546875" customWidth="1"/>
    <col min="13573" max="13573" width="4.85546875" customWidth="1"/>
    <col min="13574" max="13574" width="14.85546875" customWidth="1"/>
    <col min="13575" max="13575" width="7.140625" customWidth="1"/>
    <col min="13823" max="13823" width="6.7109375" customWidth="1"/>
    <col min="13824" max="13824" width="30.5703125" customWidth="1"/>
    <col min="13825" max="13825" width="12.28515625" customWidth="1"/>
    <col min="13826" max="13827" width="21" customWidth="1"/>
    <col min="13828" max="13828" width="21.85546875" customWidth="1"/>
    <col min="13829" max="13829" width="4.85546875" customWidth="1"/>
    <col min="13830" max="13830" width="14.85546875" customWidth="1"/>
    <col min="13831" max="13831" width="7.140625" customWidth="1"/>
    <col min="14079" max="14079" width="6.7109375" customWidth="1"/>
    <col min="14080" max="14080" width="30.5703125" customWidth="1"/>
    <col min="14081" max="14081" width="12.28515625" customWidth="1"/>
    <col min="14082" max="14083" width="21" customWidth="1"/>
    <col min="14084" max="14084" width="21.85546875" customWidth="1"/>
    <col min="14085" max="14085" width="4.85546875" customWidth="1"/>
    <col min="14086" max="14086" width="14.85546875" customWidth="1"/>
    <col min="14087" max="14087" width="7.140625" customWidth="1"/>
    <col min="14335" max="14335" width="6.7109375" customWidth="1"/>
    <col min="14336" max="14336" width="30.5703125" customWidth="1"/>
    <col min="14337" max="14337" width="12.28515625" customWidth="1"/>
    <col min="14338" max="14339" width="21" customWidth="1"/>
    <col min="14340" max="14340" width="21.85546875" customWidth="1"/>
    <col min="14341" max="14341" width="4.85546875" customWidth="1"/>
    <col min="14342" max="14342" width="14.85546875" customWidth="1"/>
    <col min="14343" max="14343" width="7.140625" customWidth="1"/>
    <col min="14591" max="14591" width="6.7109375" customWidth="1"/>
    <col min="14592" max="14592" width="30.5703125" customWidth="1"/>
    <col min="14593" max="14593" width="12.28515625" customWidth="1"/>
    <col min="14594" max="14595" width="21" customWidth="1"/>
    <col min="14596" max="14596" width="21.85546875" customWidth="1"/>
    <col min="14597" max="14597" width="4.85546875" customWidth="1"/>
    <col min="14598" max="14598" width="14.85546875" customWidth="1"/>
    <col min="14599" max="14599" width="7.140625" customWidth="1"/>
    <col min="14847" max="14847" width="6.7109375" customWidth="1"/>
    <col min="14848" max="14848" width="30.5703125" customWidth="1"/>
    <col min="14849" max="14849" width="12.28515625" customWidth="1"/>
    <col min="14850" max="14851" width="21" customWidth="1"/>
    <col min="14852" max="14852" width="21.85546875" customWidth="1"/>
    <col min="14853" max="14853" width="4.85546875" customWidth="1"/>
    <col min="14854" max="14854" width="14.85546875" customWidth="1"/>
    <col min="14855" max="14855" width="7.140625" customWidth="1"/>
    <col min="15103" max="15103" width="6.7109375" customWidth="1"/>
    <col min="15104" max="15104" width="30.5703125" customWidth="1"/>
    <col min="15105" max="15105" width="12.28515625" customWidth="1"/>
    <col min="15106" max="15107" width="21" customWidth="1"/>
    <col min="15108" max="15108" width="21.85546875" customWidth="1"/>
    <col min="15109" max="15109" width="4.85546875" customWidth="1"/>
    <col min="15110" max="15110" width="14.85546875" customWidth="1"/>
    <col min="15111" max="15111" width="7.140625" customWidth="1"/>
    <col min="15359" max="15359" width="6.7109375" customWidth="1"/>
    <col min="15360" max="15360" width="30.5703125" customWidth="1"/>
    <col min="15361" max="15361" width="12.28515625" customWidth="1"/>
    <col min="15362" max="15363" width="21" customWidth="1"/>
    <col min="15364" max="15364" width="21.85546875" customWidth="1"/>
    <col min="15365" max="15365" width="4.85546875" customWidth="1"/>
    <col min="15366" max="15366" width="14.85546875" customWidth="1"/>
    <col min="15367" max="15367" width="7.140625" customWidth="1"/>
    <col min="15615" max="15615" width="6.7109375" customWidth="1"/>
    <col min="15616" max="15616" width="30.5703125" customWidth="1"/>
    <col min="15617" max="15617" width="12.28515625" customWidth="1"/>
    <col min="15618" max="15619" width="21" customWidth="1"/>
    <col min="15620" max="15620" width="21.85546875" customWidth="1"/>
    <col min="15621" max="15621" width="4.85546875" customWidth="1"/>
    <col min="15622" max="15622" width="14.85546875" customWidth="1"/>
    <col min="15623" max="15623" width="7.140625" customWidth="1"/>
    <col min="15871" max="15871" width="6.7109375" customWidth="1"/>
    <col min="15872" max="15872" width="30.5703125" customWidth="1"/>
    <col min="15873" max="15873" width="12.28515625" customWidth="1"/>
    <col min="15874" max="15875" width="21" customWidth="1"/>
    <col min="15876" max="15876" width="21.85546875" customWidth="1"/>
    <col min="15877" max="15877" width="4.85546875" customWidth="1"/>
    <col min="15878" max="15878" width="14.85546875" customWidth="1"/>
    <col min="15879" max="15879" width="7.140625" customWidth="1"/>
    <col min="16127" max="16127" width="6.7109375" customWidth="1"/>
    <col min="16128" max="16128" width="30.5703125" customWidth="1"/>
    <col min="16129" max="16129" width="12.28515625" customWidth="1"/>
    <col min="16130" max="16131" width="21" customWidth="1"/>
    <col min="16132" max="16132" width="21.85546875" customWidth="1"/>
    <col min="16133" max="16133" width="4.85546875" customWidth="1"/>
    <col min="16134" max="16134" width="14.85546875" customWidth="1"/>
    <col min="16135" max="16135" width="7.140625" customWidth="1"/>
  </cols>
  <sheetData>
    <row r="1" spans="1:13" ht="14.1" customHeight="1">
      <c r="A1" s="525"/>
      <c r="B1" s="340"/>
      <c r="C1" s="340"/>
      <c r="D1" s="340"/>
      <c r="E1" s="342"/>
      <c r="F1" s="343"/>
      <c r="G1" s="338"/>
    </row>
    <row r="2" spans="1:13" ht="14.1" customHeight="1">
      <c r="A2" s="645" t="s">
        <v>330</v>
      </c>
      <c r="B2" s="645"/>
      <c r="C2" s="645"/>
      <c r="D2" s="645"/>
      <c r="E2" s="341"/>
      <c r="F2" s="341"/>
    </row>
    <row r="3" spans="1:13" ht="14.1" customHeight="1">
      <c r="A3" s="526"/>
      <c r="B3" s="339"/>
      <c r="C3" s="339"/>
      <c r="D3" s="339"/>
      <c r="E3" s="344"/>
      <c r="F3" s="344"/>
    </row>
    <row r="4" spans="1:13" ht="18" customHeight="1">
      <c r="A4" s="527" t="s">
        <v>145</v>
      </c>
      <c r="B4" s="348" t="s">
        <v>146</v>
      </c>
      <c r="C4" s="348" t="s">
        <v>1004</v>
      </c>
      <c r="D4" s="414" t="s">
        <v>148</v>
      </c>
      <c r="E4" s="345"/>
      <c r="F4" s="346"/>
    </row>
    <row r="5" spans="1:13" ht="28.5" hidden="1" customHeight="1">
      <c r="A5" s="644" t="s">
        <v>1037</v>
      </c>
      <c r="B5" s="644"/>
      <c r="C5" s="644"/>
      <c r="D5" s="644"/>
      <c r="E5" s="345"/>
      <c r="F5" s="346"/>
    </row>
    <row r="6" spans="1:13" ht="15.95" hidden="1" customHeight="1">
      <c r="A6" s="528">
        <v>1</v>
      </c>
      <c r="B6" s="386" t="s">
        <v>1005</v>
      </c>
      <c r="C6" s="348" t="s">
        <v>12</v>
      </c>
      <c r="D6" s="358"/>
      <c r="E6" s="345"/>
      <c r="F6" s="346"/>
      <c r="H6" s="355"/>
      <c r="I6" s="355"/>
      <c r="J6" s="355"/>
      <c r="K6" s="355"/>
      <c r="L6" s="355"/>
      <c r="M6" s="355"/>
    </row>
    <row r="7" spans="1:13" ht="15.95" hidden="1" customHeight="1">
      <c r="A7" s="528">
        <v>2</v>
      </c>
      <c r="B7" s="386" t="s">
        <v>1006</v>
      </c>
      <c r="C7" s="348" t="s">
        <v>12</v>
      </c>
      <c r="D7" s="357"/>
      <c r="E7" s="345"/>
      <c r="F7" s="346"/>
      <c r="H7" s="355"/>
      <c r="I7" s="355"/>
      <c r="J7" s="355"/>
      <c r="K7" s="355"/>
      <c r="L7" s="355"/>
      <c r="M7" s="355"/>
    </row>
    <row r="8" spans="1:13" ht="15.95" hidden="1" customHeight="1">
      <c r="A8" s="528">
        <v>3</v>
      </c>
      <c r="B8" s="386" t="s">
        <v>1007</v>
      </c>
      <c r="C8" s="348" t="s">
        <v>12</v>
      </c>
      <c r="D8" s="358"/>
      <c r="E8" s="345"/>
      <c r="F8" s="346"/>
      <c r="H8" s="355"/>
      <c r="I8" s="355"/>
      <c r="J8" s="355"/>
      <c r="K8" s="355"/>
      <c r="L8" s="355"/>
      <c r="M8" s="355"/>
    </row>
    <row r="9" spans="1:13" ht="15.95" hidden="1" customHeight="1">
      <c r="A9" s="528">
        <v>4</v>
      </c>
      <c r="B9" s="386" t="s">
        <v>1008</v>
      </c>
      <c r="C9" s="348" t="s">
        <v>12</v>
      </c>
      <c r="D9" s="357"/>
      <c r="E9" s="345"/>
      <c r="F9" s="346"/>
      <c r="H9" s="355"/>
      <c r="I9" s="355"/>
      <c r="J9" s="355"/>
      <c r="K9" s="355"/>
      <c r="L9" s="355"/>
      <c r="M9" s="355"/>
    </row>
    <row r="10" spans="1:13" ht="15.95" hidden="1" customHeight="1">
      <c r="A10" s="528">
        <v>5</v>
      </c>
      <c r="B10" s="386" t="s">
        <v>1054</v>
      </c>
      <c r="C10" s="348" t="s">
        <v>12</v>
      </c>
      <c r="D10" s="357"/>
      <c r="E10" s="345"/>
      <c r="F10" s="346"/>
      <c r="H10" s="355"/>
      <c r="I10" s="355"/>
      <c r="J10" s="355"/>
      <c r="K10" s="355"/>
      <c r="L10" s="355"/>
      <c r="M10" s="355"/>
    </row>
    <row r="11" spans="1:13" ht="15.95" hidden="1" customHeight="1">
      <c r="A11" s="528">
        <v>6</v>
      </c>
      <c r="B11" s="386" t="s">
        <v>1053</v>
      </c>
      <c r="C11" s="348" t="s">
        <v>12</v>
      </c>
      <c r="D11" s="357"/>
      <c r="E11" s="345"/>
      <c r="F11" s="346"/>
      <c r="H11" s="355"/>
      <c r="I11" s="355"/>
      <c r="J11" s="355"/>
      <c r="K11" s="355"/>
      <c r="L11" s="355"/>
      <c r="M11" s="355"/>
    </row>
    <row r="12" spans="1:13" ht="15.95" hidden="1" customHeight="1">
      <c r="A12" s="528">
        <v>7</v>
      </c>
      <c r="B12" s="347" t="s">
        <v>1091</v>
      </c>
      <c r="C12" s="348" t="s">
        <v>433</v>
      </c>
      <c r="D12" s="358"/>
      <c r="E12" s="345"/>
      <c r="F12" s="346"/>
      <c r="H12" s="355"/>
      <c r="I12" s="355"/>
      <c r="J12" s="355"/>
      <c r="K12" s="355"/>
      <c r="L12" s="355"/>
      <c r="M12" s="355"/>
    </row>
    <row r="13" spans="1:13" ht="15.95" hidden="1" customHeight="1">
      <c r="A13" s="528">
        <v>8</v>
      </c>
      <c r="B13" s="347" t="s">
        <v>1092</v>
      </c>
      <c r="C13" s="348" t="s">
        <v>433</v>
      </c>
      <c r="D13" s="358"/>
      <c r="E13" s="345"/>
      <c r="F13" s="346"/>
    </row>
    <row r="14" spans="1:13" ht="15.95" hidden="1" customHeight="1">
      <c r="A14" s="528">
        <v>9</v>
      </c>
      <c r="B14" s="347" t="s">
        <v>1093</v>
      </c>
      <c r="C14" s="348" t="s">
        <v>433</v>
      </c>
      <c r="D14" s="358"/>
      <c r="E14" s="345"/>
      <c r="F14" s="346"/>
    </row>
    <row r="15" spans="1:13" ht="28.5" hidden="1" customHeight="1">
      <c r="A15" s="528">
        <v>10</v>
      </c>
      <c r="B15" s="347" t="s">
        <v>1104</v>
      </c>
      <c r="C15" s="348" t="s">
        <v>433</v>
      </c>
      <c r="D15" s="358"/>
      <c r="E15" s="345"/>
      <c r="F15" s="346"/>
    </row>
    <row r="16" spans="1:13" ht="15.95" hidden="1" customHeight="1">
      <c r="A16" s="528">
        <v>11</v>
      </c>
      <c r="B16" s="347" t="s">
        <v>1106</v>
      </c>
      <c r="C16" s="348" t="s">
        <v>433</v>
      </c>
      <c r="D16" s="358"/>
      <c r="E16" s="345"/>
      <c r="F16" s="346"/>
    </row>
    <row r="17" spans="1:6" ht="28.5" hidden="1" customHeight="1">
      <c r="A17" s="528">
        <v>12</v>
      </c>
      <c r="B17" s="347" t="s">
        <v>1105</v>
      </c>
      <c r="C17" s="348" t="s">
        <v>433</v>
      </c>
      <c r="D17" s="358"/>
      <c r="E17" s="345"/>
      <c r="F17" s="346"/>
    </row>
    <row r="18" spans="1:6" ht="28.5" hidden="1" customHeight="1">
      <c r="A18" s="644" t="s">
        <v>1038</v>
      </c>
      <c r="B18" s="644"/>
      <c r="C18" s="644"/>
      <c r="D18" s="644"/>
      <c r="E18" s="345"/>
      <c r="F18" s="346"/>
    </row>
    <row r="19" spans="1:6" ht="28.5" hidden="1" customHeight="1">
      <c r="A19" s="528">
        <v>13</v>
      </c>
      <c r="B19" s="347" t="s">
        <v>1027</v>
      </c>
      <c r="C19" s="348" t="s">
        <v>3</v>
      </c>
      <c r="D19" s="358"/>
      <c r="E19" s="345"/>
      <c r="F19" s="346"/>
    </row>
    <row r="20" spans="1:6" ht="28.5" hidden="1" customHeight="1">
      <c r="A20" s="644" t="s">
        <v>1107</v>
      </c>
      <c r="B20" s="644"/>
      <c r="C20" s="644"/>
      <c r="D20" s="644"/>
      <c r="E20" s="345"/>
      <c r="F20" s="346"/>
    </row>
    <row r="21" spans="1:6" ht="20.25" hidden="1" customHeight="1">
      <c r="A21" s="528">
        <v>14</v>
      </c>
      <c r="B21" s="362" t="s">
        <v>1108</v>
      </c>
      <c r="C21" s="403" t="s">
        <v>12</v>
      </c>
      <c r="D21" s="404"/>
      <c r="E21" s="346"/>
      <c r="F21" s="346"/>
    </row>
    <row r="22" spans="1:6" ht="20.25" hidden="1" customHeight="1">
      <c r="A22" s="528">
        <v>15</v>
      </c>
      <c r="B22" s="362" t="s">
        <v>1109</v>
      </c>
      <c r="C22" s="403" t="s">
        <v>12</v>
      </c>
      <c r="D22" s="404"/>
      <c r="E22" s="346"/>
      <c r="F22" s="346"/>
    </row>
    <row r="23" spans="1:6" ht="28.5" customHeight="1">
      <c r="A23" s="644" t="s">
        <v>1113</v>
      </c>
      <c r="B23" s="644"/>
      <c r="C23" s="644"/>
      <c r="D23" s="644"/>
      <c r="E23" s="345"/>
      <c r="F23" s="346"/>
    </row>
    <row r="24" spans="1:6" ht="20.25" customHeight="1">
      <c r="A24" s="528">
        <v>16</v>
      </c>
      <c r="B24" s="362" t="s">
        <v>1125</v>
      </c>
      <c r="C24" s="416" t="s">
        <v>433</v>
      </c>
      <c r="D24" s="415">
        <v>2</v>
      </c>
      <c r="E24" s="346"/>
      <c r="F24" s="346"/>
    </row>
    <row r="25" spans="1:6" ht="20.25" customHeight="1">
      <c r="A25" s="528">
        <v>17</v>
      </c>
      <c r="B25" s="470" t="s">
        <v>1244</v>
      </c>
      <c r="C25" s="416" t="s">
        <v>12</v>
      </c>
      <c r="D25" s="415">
        <f>Presupuesto!D101</f>
        <v>7650</v>
      </c>
      <c r="E25" s="346"/>
      <c r="F25" s="346"/>
    </row>
    <row r="26" spans="1:6" ht="20.25" customHeight="1">
      <c r="A26" s="528">
        <v>18</v>
      </c>
      <c r="B26" s="362" t="s">
        <v>1114</v>
      </c>
      <c r="C26" s="416" t="s">
        <v>12</v>
      </c>
      <c r="D26" s="415">
        <f>Presupuesto!D102</f>
        <v>1440</v>
      </c>
      <c r="E26" s="346"/>
      <c r="F26" s="346"/>
    </row>
    <row r="27" spans="1:6" ht="20.25" customHeight="1">
      <c r="A27" s="528">
        <v>19</v>
      </c>
      <c r="B27" s="362" t="s">
        <v>1117</v>
      </c>
      <c r="C27" s="416" t="s">
        <v>12</v>
      </c>
      <c r="D27" s="415">
        <f>Presupuesto!D115</f>
        <v>1250</v>
      </c>
      <c r="E27" s="346"/>
      <c r="F27" s="346"/>
    </row>
    <row r="28" spans="1:6" ht="20.25" customHeight="1">
      <c r="A28" s="528">
        <v>20</v>
      </c>
      <c r="B28" s="362" t="s">
        <v>1118</v>
      </c>
      <c r="C28" s="416" t="s">
        <v>12</v>
      </c>
      <c r="D28" s="415">
        <f>Presupuesto!D116</f>
        <v>4800</v>
      </c>
      <c r="E28" s="346"/>
      <c r="F28" s="346"/>
    </row>
    <row r="29" spans="1:6" ht="20.25" customHeight="1">
      <c r="A29" s="528">
        <v>21</v>
      </c>
      <c r="B29" s="362" t="s">
        <v>1119</v>
      </c>
      <c r="C29" s="416" t="s">
        <v>12</v>
      </c>
      <c r="D29" s="415">
        <f>Presupuesto!D117</f>
        <v>2000</v>
      </c>
      <c r="E29" s="346"/>
      <c r="F29" s="346"/>
    </row>
    <row r="30" spans="1:6" ht="20.25" customHeight="1">
      <c r="A30" s="528">
        <v>22</v>
      </c>
      <c r="B30" s="362" t="s">
        <v>1120</v>
      </c>
      <c r="C30" s="416" t="s">
        <v>12</v>
      </c>
      <c r="D30" s="415">
        <f>Presupuesto!D118</f>
        <v>3950</v>
      </c>
      <c r="E30" s="346"/>
      <c r="F30" s="346"/>
    </row>
    <row r="31" spans="1:6" ht="30" customHeight="1">
      <c r="A31" s="528">
        <v>23</v>
      </c>
      <c r="B31" s="347" t="s">
        <v>1122</v>
      </c>
      <c r="C31" s="416" t="s">
        <v>433</v>
      </c>
      <c r="D31" s="415">
        <f>Presupuesto!D110</f>
        <v>148</v>
      </c>
      <c r="E31" s="346"/>
      <c r="F31" s="346"/>
    </row>
    <row r="32" spans="1:6" ht="30" customHeight="1">
      <c r="A32" s="528">
        <v>24</v>
      </c>
      <c r="B32" s="347" t="s">
        <v>1121</v>
      </c>
      <c r="C32" s="416" t="s">
        <v>433</v>
      </c>
      <c r="D32" s="415">
        <f>Presupuesto!D111</f>
        <v>90</v>
      </c>
      <c r="E32" s="346"/>
      <c r="F32" s="346"/>
    </row>
    <row r="33" spans="1:6" ht="30" customHeight="1">
      <c r="A33" s="528">
        <v>25</v>
      </c>
      <c r="B33" s="347" t="s">
        <v>1123</v>
      </c>
      <c r="C33" s="416" t="s">
        <v>433</v>
      </c>
      <c r="D33" s="415">
        <f>Presupuesto!D112</f>
        <v>33</v>
      </c>
      <c r="E33" s="346"/>
      <c r="F33" s="346"/>
    </row>
    <row r="34" spans="1:6" ht="30" customHeight="1">
      <c r="A34" s="528">
        <v>26</v>
      </c>
      <c r="B34" s="347" t="s">
        <v>1124</v>
      </c>
      <c r="C34" s="416" t="s">
        <v>433</v>
      </c>
      <c r="D34" s="415">
        <f>Presupuesto!D113</f>
        <v>25</v>
      </c>
      <c r="E34" s="346"/>
      <c r="F34" s="346"/>
    </row>
    <row r="35" spans="1:6" ht="20.25" customHeight="1">
      <c r="A35" s="528">
        <v>27</v>
      </c>
      <c r="B35" s="362" t="s">
        <v>1115</v>
      </c>
      <c r="C35" s="416" t="s">
        <v>433</v>
      </c>
      <c r="D35" s="415">
        <f>Presupuesto!D120</f>
        <v>240</v>
      </c>
      <c r="E35" s="346"/>
      <c r="F35" s="346"/>
    </row>
    <row r="36" spans="1:6" ht="20.25" customHeight="1">
      <c r="A36" s="528">
        <v>28</v>
      </c>
      <c r="B36" s="362" t="s">
        <v>1116</v>
      </c>
      <c r="C36" s="416" t="s">
        <v>433</v>
      </c>
      <c r="D36" s="415">
        <f>D35</f>
        <v>240</v>
      </c>
      <c r="E36" s="346"/>
      <c r="F36" s="346"/>
    </row>
    <row r="37" spans="1:6" ht="28.5" customHeight="1">
      <c r="A37" s="643" t="s">
        <v>1036</v>
      </c>
      <c r="B37" s="643"/>
      <c r="C37" s="643"/>
      <c r="D37" s="643"/>
      <c r="E37" s="345"/>
      <c r="F37" s="346"/>
    </row>
    <row r="38" spans="1:6" ht="20.25" customHeight="1">
      <c r="A38" s="529">
        <v>13</v>
      </c>
      <c r="B38" s="349" t="s">
        <v>1029</v>
      </c>
      <c r="C38" s="350" t="s">
        <v>3</v>
      </c>
      <c r="D38" s="359"/>
      <c r="E38" s="346"/>
      <c r="F38" s="346"/>
    </row>
    <row r="39" spans="1:6" ht="15.95" customHeight="1">
      <c r="A39" s="529">
        <v>14</v>
      </c>
      <c r="B39" s="349" t="s">
        <v>1030</v>
      </c>
      <c r="C39" s="350" t="s">
        <v>3</v>
      </c>
      <c r="D39" s="359"/>
      <c r="E39" s="346"/>
      <c r="F39" s="346"/>
    </row>
    <row r="40" spans="1:6" ht="15.95" customHeight="1">
      <c r="A40" s="529">
        <v>15</v>
      </c>
      <c r="B40" s="349" t="s">
        <v>1031</v>
      </c>
      <c r="C40" s="350" t="s">
        <v>3</v>
      </c>
      <c r="D40" s="359"/>
      <c r="E40" s="346"/>
      <c r="F40" s="346"/>
    </row>
    <row r="41" spans="1:6" ht="15.95" customHeight="1">
      <c r="A41" s="529">
        <v>16</v>
      </c>
      <c r="B41" s="362" t="s">
        <v>1039</v>
      </c>
      <c r="C41" s="350" t="s">
        <v>3</v>
      </c>
      <c r="D41" s="359"/>
      <c r="E41" s="346"/>
      <c r="F41" s="346"/>
    </row>
    <row r="42" spans="1:6" ht="15.95" customHeight="1">
      <c r="A42" s="529">
        <v>17</v>
      </c>
      <c r="B42" s="362" t="s">
        <v>1040</v>
      </c>
      <c r="C42" s="350" t="s">
        <v>3</v>
      </c>
      <c r="D42" s="359"/>
      <c r="E42" s="346"/>
      <c r="F42" s="346"/>
    </row>
    <row r="43" spans="1:6" ht="15.95" customHeight="1">
      <c r="A43" s="529">
        <v>18</v>
      </c>
      <c r="B43" s="349" t="s">
        <v>1032</v>
      </c>
      <c r="C43" s="350" t="s">
        <v>3</v>
      </c>
      <c r="D43" s="359"/>
      <c r="E43" s="346"/>
      <c r="F43" s="346"/>
    </row>
    <row r="44" spans="1:6" ht="26.25" customHeight="1">
      <c r="A44" s="529">
        <v>19</v>
      </c>
      <c r="B44" s="356" t="s">
        <v>1033</v>
      </c>
      <c r="C44" s="350" t="s">
        <v>3</v>
      </c>
      <c r="D44" s="359"/>
      <c r="E44" s="346"/>
      <c r="F44" s="346"/>
    </row>
    <row r="45" spans="1:6" ht="27.75" customHeight="1">
      <c r="A45" s="529">
        <v>20</v>
      </c>
      <c r="B45" s="356" t="s">
        <v>1034</v>
      </c>
      <c r="C45" s="350" t="s">
        <v>3</v>
      </c>
      <c r="D45" s="359"/>
      <c r="E45" s="346"/>
      <c r="F45" s="346"/>
    </row>
    <row r="46" spans="1:6" ht="30" customHeight="1">
      <c r="A46" s="529">
        <v>21</v>
      </c>
      <c r="B46" s="356" t="s">
        <v>1035</v>
      </c>
      <c r="C46" s="350" t="s">
        <v>3</v>
      </c>
      <c r="D46" s="359"/>
      <c r="E46" s="346"/>
      <c r="F46" s="346"/>
    </row>
    <row r="47" spans="1:6" ht="15.95" customHeight="1">
      <c r="A47" s="529">
        <v>21</v>
      </c>
      <c r="B47" s="349"/>
      <c r="C47" s="350"/>
      <c r="D47" s="359"/>
      <c r="E47" s="346"/>
      <c r="F47" s="346"/>
    </row>
    <row r="48" spans="1:6" ht="15.95" customHeight="1">
      <c r="A48" s="529">
        <v>22</v>
      </c>
      <c r="B48" s="349"/>
      <c r="C48" s="350"/>
      <c r="D48" s="359"/>
      <c r="E48" s="346"/>
      <c r="F48" s="346"/>
    </row>
    <row r="49" spans="1:6" ht="15.95" customHeight="1">
      <c r="A49" s="529">
        <v>23</v>
      </c>
      <c r="B49" s="349"/>
      <c r="C49" s="350"/>
      <c r="D49" s="359"/>
      <c r="E49" s="346"/>
      <c r="F49" s="346"/>
    </row>
    <row r="50" spans="1:6" ht="15.95" customHeight="1" thickBot="1">
      <c r="A50" s="530">
        <v>24</v>
      </c>
      <c r="B50" s="351"/>
      <c r="C50" s="352"/>
      <c r="D50" s="360"/>
      <c r="E50" s="346"/>
      <c r="F50" s="346"/>
    </row>
    <row r="51" spans="1:6" ht="15.95" customHeight="1">
      <c r="A51" s="531"/>
      <c r="B51" s="353"/>
      <c r="C51" s="353"/>
      <c r="D51" s="361"/>
      <c r="E51" s="346"/>
      <c r="F51" s="346"/>
    </row>
    <row r="52" spans="1:6" ht="15.95" customHeight="1">
      <c r="A52" s="531"/>
      <c r="B52" s="353"/>
      <c r="C52" s="353"/>
      <c r="D52" s="361"/>
      <c r="E52" s="346"/>
      <c r="F52" s="346"/>
    </row>
    <row r="53" spans="1:6" ht="15.95" customHeight="1">
      <c r="A53" s="531"/>
      <c r="B53" s="353"/>
      <c r="C53" s="353"/>
      <c r="D53" s="361"/>
      <c r="E53" s="346"/>
      <c r="F53" s="346"/>
    </row>
    <row r="54" spans="1:6" ht="15.95" customHeight="1">
      <c r="A54" s="531"/>
      <c r="B54" s="353"/>
      <c r="C54" s="353"/>
      <c r="D54" s="361"/>
      <c r="E54" s="346"/>
      <c r="F54" s="346"/>
    </row>
    <row r="55" spans="1:6" ht="15.95" customHeight="1">
      <c r="A55" s="531"/>
      <c r="B55" s="353"/>
      <c r="C55" s="353"/>
      <c r="D55" s="361"/>
      <c r="E55" s="346"/>
      <c r="F55" s="346"/>
    </row>
    <row r="56" spans="1:6" ht="15.95" customHeight="1">
      <c r="A56" s="531"/>
      <c r="B56" s="353"/>
      <c r="C56" s="353"/>
      <c r="D56" s="361"/>
      <c r="E56" s="346"/>
      <c r="F56" s="346"/>
    </row>
    <row r="57" spans="1:6" ht="15.95" customHeight="1">
      <c r="B57" s="354"/>
    </row>
    <row r="58" spans="1:6" ht="15.95" customHeight="1">
      <c r="B58" s="354"/>
    </row>
    <row r="59" spans="1:6" ht="15.95" customHeight="1">
      <c r="B59" s="354"/>
    </row>
    <row r="60" spans="1:6" ht="15.95" customHeight="1"/>
    <row r="61" spans="1:6" ht="15.95" customHeight="1"/>
    <row r="62" spans="1:6" ht="15.95" customHeight="1"/>
  </sheetData>
  <mergeCells count="6">
    <mergeCell ref="A37:D37"/>
    <mergeCell ref="A5:D5"/>
    <mergeCell ref="A18:D18"/>
    <mergeCell ref="A2:D2"/>
    <mergeCell ref="A20:D20"/>
    <mergeCell ref="A23:D23"/>
  </mergeCells>
  <printOptions horizontalCentered="1"/>
  <pageMargins left="0.59055118110236227" right="0.39370078740157483" top="0.59055118110236227" bottom="0.59055118110236227" header="0" footer="0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GG</vt:lpstr>
      <vt:lpstr>Equipos</vt:lpstr>
      <vt:lpstr>Mano de obra</vt:lpstr>
      <vt:lpstr>MAT 31-10-2013</vt:lpstr>
      <vt:lpstr>Coef. resumen</vt:lpstr>
      <vt:lpstr>Análisis</vt:lpstr>
      <vt:lpstr>Presupuesto</vt:lpstr>
      <vt:lpstr>Plan de Trabajos</vt:lpstr>
      <vt:lpstr>Cotización</vt:lpstr>
      <vt:lpstr>Análisis!Área_de_impresión</vt:lpstr>
      <vt:lpstr>'Coef. resumen'!Área_de_impresión</vt:lpstr>
      <vt:lpstr>Cotización!Área_de_impresión</vt:lpstr>
      <vt:lpstr>Equipos!Área_de_impresión</vt:lpstr>
      <vt:lpstr>GG!Área_de_impresión</vt:lpstr>
      <vt:lpstr>'Mano de obra'!Área_de_impresión</vt:lpstr>
      <vt:lpstr>'MAT 31-10-2013'!Área_de_impresión</vt:lpstr>
      <vt:lpstr>'Plan de Trabajos'!Área_de_impresión</vt:lpstr>
      <vt:lpstr>Presupuesto!Área_de_impresión</vt:lpstr>
      <vt:lpstr>'Plan de Trabajos'!Incidencia</vt:lpstr>
      <vt:lpstr>Análisis!Títulos_a_imprimir</vt:lpstr>
      <vt:lpstr>'Coef. resumen'!Títulos_a_imprimir</vt:lpstr>
      <vt:lpstr>'MAT 31-10-2013'!Títulos_a_imprimir</vt:lpstr>
      <vt:lpstr>Presupuesto!Títulos_a_imprimir</vt:lpstr>
    </vt:vector>
  </TitlesOfParts>
  <Company>Coop. 16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Of. Técnica Serv. San.</dc:creator>
  <cp:lastModifiedBy>Romina Aguero</cp:lastModifiedBy>
  <cp:lastPrinted>2014-02-04T18:30:39Z</cp:lastPrinted>
  <dcterms:created xsi:type="dcterms:W3CDTF">2005-09-20T11:29:22Z</dcterms:created>
  <dcterms:modified xsi:type="dcterms:W3CDTF">2014-08-15T11:40:02Z</dcterms:modified>
</cp:coreProperties>
</file>